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Desarrollo Institucional (Compartido)\Desarrollo Institucional\SABANAS POB\"/>
    </mc:Choice>
  </mc:AlternateContent>
  <bookViews>
    <workbookView xWindow="0" yWindow="0" windowWidth="13005" windowHeight="7140" tabRatio="782"/>
  </bookViews>
  <sheets>
    <sheet name="EST_ITM" sheetId="1" r:id="rId1"/>
    <sheet name="ESTADISTICAS" sheetId="22" r:id="rId2"/>
    <sheet name="Crec x Carrera" sheetId="36" r:id="rId3"/>
    <sheet name="Crec x Depto" sheetId="37" r:id="rId4"/>
    <sheet name="Plan en Liq" sheetId="38" r:id="rId5"/>
    <sheet name="PobActual" sheetId="39" r:id="rId6"/>
    <sheet name="EGR_Carrera" sheetId="41" r:id="rId7"/>
    <sheet name="GposProy" sheetId="40" r:id="rId8"/>
  </sheets>
  <definedNames>
    <definedName name="_xlnm.Print_Area" localSheetId="2">'Crec x Carrera'!$C$5:$M$31</definedName>
    <definedName name="_xlnm.Print_Area" localSheetId="0">EST_ITM!$A$4:$EH$81</definedName>
    <definedName name="bddeptos">'Crec x Depto'!$Z$3:$AC$8</definedName>
    <definedName name="BDEST">ESTADISTICAS!$M$6:$AD$53</definedName>
    <definedName name="DBESTLIQ">ESTADISTICAS!$C$6:$L$40</definedName>
    <definedName name="MATEST" localSheetId="6">#REF!</definedName>
    <definedName name="MATEST">#REF!</definedName>
    <definedName name="MATPOB">EST_ITM!$A$5:$FF$96</definedName>
    <definedName name="periodos">ESTADISTICAS!$A$6:$B$55</definedName>
    <definedName name="periodos2">ESTADISTICAS!$AE$6:$AF$53</definedName>
    <definedName name="sabana">EST_ITM!$A$6:$FF$108</definedName>
    <definedName name="_xlnm.Print_Titles" localSheetId="0">EST_ITM!$A:$A,EST_ITM!$4:$7</definedName>
  </definedNames>
  <calcPr calcId="152511"/>
</workbook>
</file>

<file path=xl/calcChain.xml><?xml version="1.0" encoding="utf-8"?>
<calcChain xmlns="http://schemas.openxmlformats.org/spreadsheetml/2006/main">
  <c r="AH7" i="41" l="1"/>
  <c r="AH8" i="41"/>
  <c r="AH9" i="41"/>
  <c r="AH10" i="41"/>
  <c r="AH11" i="41"/>
  <c r="AH12" i="41"/>
  <c r="AH13" i="41"/>
  <c r="AH14" i="41"/>
  <c r="AH15" i="41"/>
  <c r="AH16" i="41"/>
  <c r="AH17" i="41"/>
  <c r="AH18" i="41"/>
  <c r="AH19" i="41"/>
  <c r="AH20" i="41"/>
  <c r="AH21" i="41"/>
  <c r="AH22" i="41"/>
  <c r="AH6" i="41"/>
  <c r="AH23" i="41"/>
  <c r="AG18" i="41"/>
  <c r="B70" i="41"/>
  <c r="C70" i="41"/>
  <c r="D70" i="41"/>
  <c r="E70" i="41"/>
  <c r="F70" i="41"/>
  <c r="G70" i="41"/>
  <c r="H70" i="41"/>
  <c r="I70" i="41"/>
  <c r="J70" i="41"/>
  <c r="K70" i="41"/>
  <c r="L70" i="41"/>
  <c r="M70" i="41"/>
  <c r="N70" i="41"/>
  <c r="O70" i="41"/>
  <c r="P70" i="41"/>
  <c r="Q70" i="41"/>
  <c r="R70" i="41"/>
  <c r="S70" i="41"/>
  <c r="T70" i="41"/>
  <c r="U70" i="41"/>
  <c r="V70" i="41"/>
  <c r="W70" i="41"/>
  <c r="X70" i="41"/>
  <c r="Y70" i="41"/>
  <c r="Z70" i="41"/>
  <c r="AA70" i="41"/>
  <c r="AB70" i="41"/>
  <c r="AC70" i="41"/>
  <c r="B71" i="41"/>
  <c r="C71" i="41"/>
  <c r="D71" i="41"/>
  <c r="E71" i="41"/>
  <c r="F71" i="41"/>
  <c r="G71" i="41"/>
  <c r="H71" i="41"/>
  <c r="I71" i="41"/>
  <c r="J71" i="41"/>
  <c r="K71" i="41"/>
  <c r="L71" i="41"/>
  <c r="M71" i="41"/>
  <c r="N71" i="41"/>
  <c r="O71" i="41"/>
  <c r="P71" i="41"/>
  <c r="Q71" i="41"/>
  <c r="R71" i="41"/>
  <c r="S71" i="41"/>
  <c r="T71" i="41"/>
  <c r="U71" i="41"/>
  <c r="V71" i="41"/>
  <c r="W71" i="41"/>
  <c r="X71" i="41"/>
  <c r="Y71" i="41"/>
  <c r="AC71" i="41" s="1"/>
  <c r="Z71" i="41"/>
  <c r="AA71" i="41"/>
  <c r="AB71" i="41"/>
  <c r="B72" i="41"/>
  <c r="C72" i="41"/>
  <c r="D72" i="41"/>
  <c r="E72" i="41"/>
  <c r="F72" i="41"/>
  <c r="G72" i="41"/>
  <c r="H72" i="41"/>
  <c r="I72" i="41"/>
  <c r="J72" i="41"/>
  <c r="K72" i="41"/>
  <c r="L72" i="41"/>
  <c r="M72" i="41"/>
  <c r="N72" i="41"/>
  <c r="O72" i="41"/>
  <c r="P72" i="41"/>
  <c r="Q72" i="41"/>
  <c r="R72" i="41"/>
  <c r="S72" i="41"/>
  <c r="T72" i="41"/>
  <c r="U72" i="41"/>
  <c r="V72" i="41"/>
  <c r="W72" i="41"/>
  <c r="X72" i="41"/>
  <c r="Y72" i="41"/>
  <c r="AC72" i="41" s="1"/>
  <c r="Z72" i="41"/>
  <c r="AA72" i="41"/>
  <c r="AB72" i="41"/>
  <c r="B73" i="41"/>
  <c r="C73" i="41"/>
  <c r="D73" i="41"/>
  <c r="E73" i="41"/>
  <c r="F73" i="41"/>
  <c r="G73" i="41"/>
  <c r="H73" i="41"/>
  <c r="I73" i="41"/>
  <c r="J73" i="41"/>
  <c r="K73" i="41"/>
  <c r="L73" i="41"/>
  <c r="M73" i="41"/>
  <c r="N73" i="41"/>
  <c r="O73" i="41"/>
  <c r="P73" i="41"/>
  <c r="Q73" i="41"/>
  <c r="R73" i="41"/>
  <c r="S73" i="41"/>
  <c r="T73" i="41"/>
  <c r="U73" i="41"/>
  <c r="V73" i="41"/>
  <c r="W73" i="41"/>
  <c r="X73" i="41"/>
  <c r="Y73" i="41"/>
  <c r="Z73" i="41"/>
  <c r="AA73" i="41"/>
  <c r="AB73" i="41"/>
  <c r="A70" i="41"/>
  <c r="A71" i="41"/>
  <c r="A72" i="41"/>
  <c r="U4" i="37"/>
  <c r="U8" i="37" s="1"/>
  <c r="EZ86" i="1"/>
  <c r="EZ87" i="1"/>
  <c r="EZ88" i="1"/>
  <c r="EZ89" i="1"/>
  <c r="EZ90" i="1"/>
  <c r="EZ91" i="1"/>
  <c r="EZ92" i="1"/>
  <c r="EZ93" i="1"/>
  <c r="EZ94" i="1"/>
  <c r="EZ95" i="1"/>
  <c r="EZ96" i="1"/>
  <c r="EZ97" i="1"/>
  <c r="EZ98" i="1"/>
  <c r="EZ99" i="1"/>
  <c r="EZ100" i="1"/>
  <c r="EZ101" i="1"/>
  <c r="EZ102" i="1"/>
  <c r="EZ103" i="1"/>
  <c r="EZ104" i="1"/>
  <c r="EZ105" i="1"/>
  <c r="EZ106" i="1"/>
  <c r="EZ107" i="1"/>
  <c r="EZ108" i="1"/>
  <c r="EZ109" i="1"/>
  <c r="EZ110" i="1"/>
  <c r="EZ111" i="1"/>
  <c r="EZ112" i="1"/>
  <c r="EZ113" i="1"/>
  <c r="EZ114" i="1"/>
  <c r="EZ115" i="1"/>
  <c r="EZ116" i="1"/>
  <c r="EZ117" i="1"/>
  <c r="EZ118" i="1"/>
  <c r="EZ119" i="1"/>
  <c r="EZ120" i="1"/>
  <c r="EZ121" i="1"/>
  <c r="EZ122" i="1"/>
  <c r="EZ123" i="1"/>
  <c r="EZ124" i="1"/>
  <c r="EZ125" i="1"/>
  <c r="EZ126" i="1"/>
  <c r="EZ127" i="1"/>
  <c r="EZ128" i="1"/>
  <c r="EZ129" i="1"/>
  <c r="EZ130" i="1"/>
  <c r="EZ131" i="1"/>
  <c r="EZ132" i="1"/>
  <c r="EZ133" i="1"/>
  <c r="EZ134" i="1"/>
  <c r="EZ135" i="1"/>
  <c r="EZ136" i="1"/>
  <c r="EZ137" i="1"/>
  <c r="EZ138" i="1"/>
  <c r="EZ139" i="1"/>
  <c r="EZ140" i="1"/>
  <c r="EZ141" i="1"/>
  <c r="EZ142" i="1"/>
  <c r="EZ85" i="1"/>
  <c r="EZ84" i="1"/>
  <c r="FF84" i="1"/>
  <c r="EX84" i="1"/>
  <c r="ER84" i="1"/>
  <c r="EL84" i="1"/>
  <c r="EF84" i="1"/>
  <c r="DT84" i="1"/>
  <c r="DZ84" i="1"/>
  <c r="DH84" i="1"/>
  <c r="DB84" i="1"/>
  <c r="CV84" i="1"/>
  <c r="CP84" i="1"/>
  <c r="CJ84" i="1"/>
  <c r="CD84" i="1"/>
  <c r="BX84" i="1"/>
  <c r="BR84" i="1"/>
  <c r="AC73" i="41" l="1"/>
  <c r="U35" i="37"/>
  <c r="U31" i="37"/>
  <c r="U27" i="37"/>
  <c r="U23" i="37"/>
  <c r="U19" i="37"/>
  <c r="U15" i="37"/>
  <c r="U11" i="37"/>
  <c r="U7" i="37"/>
  <c r="U34" i="37"/>
  <c r="U30" i="37"/>
  <c r="U26" i="37"/>
  <c r="U22" i="37"/>
  <c r="U18" i="37"/>
  <c r="U14" i="37"/>
  <c r="U10" i="37"/>
  <c r="U6" i="37"/>
  <c r="U33" i="37"/>
  <c r="U29" i="37"/>
  <c r="U25" i="37"/>
  <c r="U21" i="37"/>
  <c r="U17" i="37"/>
  <c r="U13" i="37"/>
  <c r="U9" i="37"/>
  <c r="U5" i="37"/>
  <c r="U32" i="37"/>
  <c r="U28" i="37"/>
  <c r="U24" i="37"/>
  <c r="U20" i="37"/>
  <c r="U16" i="37"/>
  <c r="U12" i="37"/>
  <c r="BR83" i="1"/>
  <c r="B25" i="36" l="1"/>
  <c r="AB41" i="22"/>
  <c r="AB40" i="22"/>
  <c r="AB39" i="22"/>
  <c r="AB38" i="22"/>
  <c r="AB37" i="22"/>
  <c r="AB36" i="22"/>
  <c r="AA46" i="22"/>
  <c r="AA47" i="22"/>
  <c r="AA48" i="22"/>
  <c r="AA49" i="22"/>
  <c r="AA50" i="22"/>
  <c r="AA51" i="22"/>
  <c r="AA52" i="22"/>
  <c r="AA53" i="22"/>
  <c r="AA54" i="22"/>
  <c r="AA55" i="22"/>
  <c r="AA56" i="22"/>
  <c r="AA57" i="22"/>
  <c r="AA58" i="22"/>
  <c r="AA59" i="22"/>
  <c r="AA60" i="22"/>
  <c r="AA61" i="22"/>
  <c r="AA62" i="22"/>
  <c r="AA63" i="22"/>
  <c r="AA64" i="22"/>
  <c r="AA65" i="22"/>
  <c r="AA66" i="22"/>
  <c r="AA67" i="22"/>
  <c r="AA68" i="22"/>
  <c r="AA37" i="22"/>
  <c r="AA38" i="22"/>
  <c r="AA39" i="22"/>
  <c r="AA40" i="22"/>
  <c r="AA41" i="22"/>
  <c r="AA42" i="22"/>
  <c r="AA43" i="22"/>
  <c r="AA44" i="22"/>
  <c r="AA45" i="22"/>
  <c r="AA36" i="22"/>
  <c r="FF97" i="1"/>
  <c r="FF83" i="1"/>
  <c r="EZ83" i="1"/>
  <c r="EX82" i="1"/>
  <c r="ER81" i="1"/>
  <c r="ER82" i="1"/>
  <c r="ER83" i="1"/>
  <c r="EL82" i="1"/>
  <c r="EL83" i="1"/>
  <c r="EF83" i="1"/>
  <c r="DZ83" i="1"/>
  <c r="DN83" i="1"/>
  <c r="DH83" i="1"/>
  <c r="DB83" i="1"/>
  <c r="CV83" i="1"/>
  <c r="CP83" i="1"/>
  <c r="CJ83" i="1"/>
  <c r="CD83" i="1"/>
  <c r="BX83" i="1"/>
  <c r="AJ83" i="1"/>
  <c r="AH83" i="1"/>
  <c r="EF82" i="1" l="1"/>
  <c r="DZ82" i="1"/>
  <c r="DT82" i="1"/>
  <c r="DT81" i="1"/>
  <c r="DN82" i="1"/>
  <c r="DH82" i="1"/>
  <c r="DB82" i="1"/>
  <c r="CV82" i="1"/>
  <c r="CP82" i="1"/>
  <c r="CJ82" i="1"/>
  <c r="CD82" i="1"/>
  <c r="BX82" i="1"/>
  <c r="BR82" i="1"/>
  <c r="AJ81" i="1"/>
  <c r="AJ82" i="1"/>
  <c r="FB97" i="1"/>
  <c r="FB82" i="1"/>
  <c r="FC83" i="1"/>
  <c r="FC84" i="1"/>
  <c r="FC85" i="1"/>
  <c r="FC86" i="1"/>
  <c r="FC87" i="1"/>
  <c r="FC88" i="1"/>
  <c r="FC89" i="1"/>
  <c r="FC90" i="1"/>
  <c r="FC91" i="1"/>
  <c r="FC92" i="1"/>
  <c r="FC93" i="1"/>
  <c r="FC94" i="1"/>
  <c r="FC95" i="1"/>
  <c r="FC96" i="1"/>
  <c r="FC82" i="1"/>
  <c r="FA83" i="1"/>
  <c r="FA84" i="1"/>
  <c r="FA85" i="1"/>
  <c r="FA86" i="1"/>
  <c r="FA87" i="1"/>
  <c r="FA88" i="1"/>
  <c r="FA89" i="1"/>
  <c r="FA90" i="1"/>
  <c r="FA91" i="1"/>
  <c r="FA92" i="1"/>
  <c r="FA93" i="1"/>
  <c r="FA94" i="1"/>
  <c r="FA95" i="1"/>
  <c r="FA96" i="1"/>
  <c r="FA82" i="1"/>
  <c r="EZ82" i="1"/>
  <c r="EX83" i="1" s="1"/>
  <c r="AH82" i="1"/>
  <c r="A39" i="38"/>
  <c r="E4" i="1"/>
  <c r="J4" i="1"/>
  <c r="A4" i="41"/>
  <c r="B4" i="41"/>
  <c r="A5" i="41"/>
  <c r="D5" i="41"/>
  <c r="A6" i="41"/>
  <c r="E6" i="41"/>
  <c r="A38" i="41"/>
  <c r="B38" i="41"/>
  <c r="A39" i="41"/>
  <c r="E39" i="41"/>
  <c r="A40" i="41"/>
  <c r="D40" i="41"/>
  <c r="A41" i="41"/>
  <c r="B41" i="41"/>
  <c r="A42" i="41"/>
  <c r="B42" i="41"/>
  <c r="A43" i="41"/>
  <c r="E43" i="41"/>
  <c r="A44" i="41"/>
  <c r="D44" i="41"/>
  <c r="A45" i="41"/>
  <c r="B45" i="41"/>
  <c r="A46" i="41"/>
  <c r="B46" i="41"/>
  <c r="A47" i="41"/>
  <c r="F47" i="41"/>
  <c r="A48" i="41"/>
  <c r="D48" i="41"/>
  <c r="A49" i="41"/>
  <c r="B49" i="41"/>
  <c r="A50" i="41"/>
  <c r="B50" i="41"/>
  <c r="A51" i="41"/>
  <c r="D51" i="41"/>
  <c r="A52" i="41"/>
  <c r="D52" i="41"/>
  <c r="A53" i="41"/>
  <c r="B53" i="41"/>
  <c r="A54" i="41"/>
  <c r="F54" i="41"/>
  <c r="A55" i="41"/>
  <c r="B55" i="41"/>
  <c r="A56" i="41"/>
  <c r="D56" i="41"/>
  <c r="A57" i="41"/>
  <c r="B57" i="41"/>
  <c r="A58" i="41"/>
  <c r="B58" i="41"/>
  <c r="A59" i="41"/>
  <c r="A60" i="41"/>
  <c r="D60" i="41"/>
  <c r="A61" i="41"/>
  <c r="B61" i="41"/>
  <c r="A62" i="41"/>
  <c r="B62" i="41"/>
  <c r="A63" i="41"/>
  <c r="B63" i="41"/>
  <c r="A64" i="41"/>
  <c r="D64" i="41"/>
  <c r="A65" i="41"/>
  <c r="B65" i="41"/>
  <c r="A66" i="41"/>
  <c r="E66" i="41"/>
  <c r="A67" i="41"/>
  <c r="D67" i="41"/>
  <c r="A68" i="41"/>
  <c r="D68" i="41"/>
  <c r="A69" i="41"/>
  <c r="B69" i="41"/>
  <c r="A8" i="41"/>
  <c r="B8" i="41"/>
  <c r="A9" i="41"/>
  <c r="C9" i="41"/>
  <c r="A10" i="41"/>
  <c r="B10" i="41"/>
  <c r="A11" i="41"/>
  <c r="B11" i="41"/>
  <c r="A12" i="41"/>
  <c r="B12" i="41"/>
  <c r="A13" i="41"/>
  <c r="C13" i="41"/>
  <c r="A14" i="41"/>
  <c r="B14" i="41"/>
  <c r="A15" i="41"/>
  <c r="B15" i="41"/>
  <c r="A16" i="41"/>
  <c r="B16" i="41"/>
  <c r="A17" i="41"/>
  <c r="F17" i="41"/>
  <c r="A18" i="41"/>
  <c r="E18" i="41"/>
  <c r="A19" i="41"/>
  <c r="B19" i="41"/>
  <c r="A20" i="41"/>
  <c r="C20" i="41"/>
  <c r="A21" i="41"/>
  <c r="C21" i="41"/>
  <c r="A22" i="41"/>
  <c r="E22" i="41"/>
  <c r="A23" i="41"/>
  <c r="D23" i="41"/>
  <c r="A24" i="41"/>
  <c r="B24" i="41"/>
  <c r="A25" i="41"/>
  <c r="C25" i="41"/>
  <c r="A26" i="41"/>
  <c r="B26" i="41"/>
  <c r="A27" i="41"/>
  <c r="B27" i="41"/>
  <c r="A28" i="41"/>
  <c r="B28" i="41"/>
  <c r="A29" i="41"/>
  <c r="C29" i="41"/>
  <c r="A30" i="41"/>
  <c r="B30" i="41"/>
  <c r="A31" i="41"/>
  <c r="B31" i="41"/>
  <c r="A32" i="41"/>
  <c r="B32" i="41"/>
  <c r="A33" i="41"/>
  <c r="C33" i="41"/>
  <c r="A34" i="41"/>
  <c r="E34" i="41"/>
  <c r="A35" i="41"/>
  <c r="D35" i="41"/>
  <c r="A36" i="41"/>
  <c r="C36" i="41"/>
  <c r="A37" i="41"/>
  <c r="C37" i="41"/>
  <c r="A7" i="41"/>
  <c r="E7" i="41"/>
  <c r="G2" i="41"/>
  <c r="H2" i="41"/>
  <c r="B59" i="41"/>
  <c r="B52" i="41"/>
  <c r="B44" i="41"/>
  <c r="B68" i="41"/>
  <c r="B36" i="41"/>
  <c r="B60" i="41"/>
  <c r="B20" i="41"/>
  <c r="D6" i="41"/>
  <c r="B67" i="41"/>
  <c r="B51" i="41"/>
  <c r="B43" i="41"/>
  <c r="B64" i="41"/>
  <c r="B56" i="41"/>
  <c r="B48" i="41"/>
  <c r="B40" i="41"/>
  <c r="B47" i="41"/>
  <c r="B39" i="41"/>
  <c r="B35" i="41"/>
  <c r="B23" i="41"/>
  <c r="B7" i="41"/>
  <c r="E5" i="41"/>
  <c r="B66" i="41"/>
  <c r="B54" i="41"/>
  <c r="B34" i="41"/>
  <c r="B22" i="41"/>
  <c r="B18" i="41"/>
  <c r="B6" i="41"/>
  <c r="C5" i="41"/>
  <c r="B37" i="41"/>
  <c r="B33" i="41"/>
  <c r="B29" i="41"/>
  <c r="B25" i="41"/>
  <c r="B21" i="41"/>
  <c r="B17" i="41"/>
  <c r="B13" i="41"/>
  <c r="B9" i="41"/>
  <c r="B5" i="41"/>
  <c r="C4" i="41"/>
  <c r="D4" i="41"/>
  <c r="C6" i="41"/>
  <c r="E4" i="41"/>
  <c r="C40" i="41"/>
  <c r="C56" i="41"/>
  <c r="E46" i="41"/>
  <c r="C68" i="41"/>
  <c r="C52" i="41"/>
  <c r="D47" i="41"/>
  <c r="E42" i="41"/>
  <c r="C64" i="41"/>
  <c r="C48" i="41"/>
  <c r="D43" i="41"/>
  <c r="E54" i="41"/>
  <c r="E38" i="41"/>
  <c r="F18" i="41"/>
  <c r="C60" i="41"/>
  <c r="C44" i="41"/>
  <c r="D39" i="41"/>
  <c r="E50" i="41"/>
  <c r="E19" i="41"/>
  <c r="C19" i="41"/>
  <c r="D19" i="41"/>
  <c r="F36" i="41"/>
  <c r="D36" i="41"/>
  <c r="E36" i="41"/>
  <c r="F32" i="41"/>
  <c r="D32" i="41"/>
  <c r="E32" i="41"/>
  <c r="G28" i="41"/>
  <c r="D28" i="41"/>
  <c r="E28" i="41"/>
  <c r="F24" i="41"/>
  <c r="D24" i="41"/>
  <c r="E24" i="41"/>
  <c r="F20" i="41"/>
  <c r="D20" i="41"/>
  <c r="E20" i="41"/>
  <c r="D16" i="41"/>
  <c r="E16" i="41"/>
  <c r="D12" i="41"/>
  <c r="E12" i="41"/>
  <c r="D8" i="41"/>
  <c r="E8" i="41"/>
  <c r="E67" i="41"/>
  <c r="C67" i="41"/>
  <c r="F63" i="41"/>
  <c r="E63" i="41"/>
  <c r="C63" i="41"/>
  <c r="E59" i="41"/>
  <c r="C59" i="41"/>
  <c r="E55" i="41"/>
  <c r="C55" i="41"/>
  <c r="E51" i="41"/>
  <c r="C51" i="41"/>
  <c r="C24" i="41"/>
  <c r="C8" i="41"/>
  <c r="D55" i="41"/>
  <c r="E35" i="41"/>
  <c r="C35" i="41"/>
  <c r="E31" i="41"/>
  <c r="C31" i="41"/>
  <c r="G27" i="41"/>
  <c r="E27" i="41"/>
  <c r="C27" i="41"/>
  <c r="E23" i="41"/>
  <c r="C23" i="41"/>
  <c r="E15" i="41"/>
  <c r="C15" i="41"/>
  <c r="G11" i="41"/>
  <c r="E11" i="41"/>
  <c r="C11" i="41"/>
  <c r="C66" i="41"/>
  <c r="D66" i="41"/>
  <c r="C62" i="41"/>
  <c r="D62" i="41"/>
  <c r="C58" i="41"/>
  <c r="D58" i="41"/>
  <c r="C7" i="41"/>
  <c r="D7" i="41"/>
  <c r="C34" i="41"/>
  <c r="D34" i="41"/>
  <c r="C30" i="41"/>
  <c r="D30" i="41"/>
  <c r="F26" i="41"/>
  <c r="C26" i="41"/>
  <c r="D26" i="41"/>
  <c r="F22" i="41"/>
  <c r="C22" i="41"/>
  <c r="D22" i="41"/>
  <c r="C18" i="41"/>
  <c r="D18" i="41"/>
  <c r="C14" i="41"/>
  <c r="D14" i="41"/>
  <c r="F10" i="41"/>
  <c r="C10" i="41"/>
  <c r="D10" i="41"/>
  <c r="C69" i="41"/>
  <c r="D69" i="41"/>
  <c r="E69" i="41"/>
  <c r="C65" i="41"/>
  <c r="D65" i="41"/>
  <c r="E65" i="41"/>
  <c r="C61" i="41"/>
  <c r="D61" i="41"/>
  <c r="E61" i="41"/>
  <c r="C57" i="41"/>
  <c r="D57" i="41"/>
  <c r="E57" i="41"/>
  <c r="C53" i="41"/>
  <c r="D53" i="41"/>
  <c r="E53" i="41"/>
  <c r="C49" i="41"/>
  <c r="D49" i="41"/>
  <c r="E49" i="41"/>
  <c r="C45" i="41"/>
  <c r="D45" i="41"/>
  <c r="E45" i="41"/>
  <c r="C41" i="41"/>
  <c r="D41" i="41"/>
  <c r="E41" i="41"/>
  <c r="C32" i="41"/>
  <c r="C16" i="41"/>
  <c r="D63" i="41"/>
  <c r="D31" i="41"/>
  <c r="D15" i="41"/>
  <c r="E62" i="41"/>
  <c r="E30" i="41"/>
  <c r="E14" i="41"/>
  <c r="C28" i="41"/>
  <c r="C12" i="41"/>
  <c r="D59" i="41"/>
  <c r="D27" i="41"/>
  <c r="D11" i="41"/>
  <c r="E58" i="41"/>
  <c r="E26" i="41"/>
  <c r="E10" i="41"/>
  <c r="C47" i="41"/>
  <c r="C43" i="41"/>
  <c r="C39" i="41"/>
  <c r="D54" i="41"/>
  <c r="D50" i="41"/>
  <c r="D46" i="41"/>
  <c r="D42" i="41"/>
  <c r="D38" i="41"/>
  <c r="E37" i="41"/>
  <c r="E33" i="41"/>
  <c r="E29" i="41"/>
  <c r="E25" i="41"/>
  <c r="E21" i="41"/>
  <c r="E17" i="41"/>
  <c r="E13" i="41"/>
  <c r="E9" i="41"/>
  <c r="C54" i="41"/>
  <c r="C50" i="41"/>
  <c r="C46" i="41"/>
  <c r="C42" i="41"/>
  <c r="C38" i="41"/>
  <c r="D37" i="41"/>
  <c r="D33" i="41"/>
  <c r="D29" i="41"/>
  <c r="D25" i="41"/>
  <c r="D21" i="41"/>
  <c r="D17" i="41"/>
  <c r="D13" i="41"/>
  <c r="D9" i="41"/>
  <c r="E68" i="41"/>
  <c r="E64" i="41"/>
  <c r="E60" i="41"/>
  <c r="E56" i="41"/>
  <c r="E52" i="41"/>
  <c r="E48" i="41"/>
  <c r="E44" i="41"/>
  <c r="E40" i="41"/>
  <c r="C17" i="41"/>
  <c r="E47" i="41"/>
  <c r="H7" i="41"/>
  <c r="G47" i="41"/>
  <c r="F7" i="41"/>
  <c r="G63" i="41"/>
  <c r="G22" i="41"/>
  <c r="G10" i="41"/>
  <c r="I2" i="41"/>
  <c r="I57" i="41"/>
  <c r="H16" i="41"/>
  <c r="H36" i="41"/>
  <c r="H8" i="41"/>
  <c r="H26" i="41"/>
  <c r="H27" i="41"/>
  <c r="H11" i="41"/>
  <c r="H68" i="41"/>
  <c r="I67" i="41"/>
  <c r="H47" i="41"/>
  <c r="F13" i="41"/>
  <c r="F12" i="41"/>
  <c r="H51" i="41"/>
  <c r="F28" i="41"/>
  <c r="F59" i="41"/>
  <c r="G20" i="41"/>
  <c r="H64" i="41"/>
  <c r="H48" i="41"/>
  <c r="H32" i="41"/>
  <c r="H24" i="41"/>
  <c r="H12" i="41"/>
  <c r="H35" i="41"/>
  <c r="F8" i="41"/>
  <c r="H62" i="41"/>
  <c r="H46" i="41"/>
  <c r="H42" i="41"/>
  <c r="F27" i="41"/>
  <c r="F68" i="41"/>
  <c r="F52" i="41"/>
  <c r="G68" i="41"/>
  <c r="G52" i="41"/>
  <c r="G36" i="41"/>
  <c r="G26" i="41"/>
  <c r="G16" i="41"/>
  <c r="G8" i="41"/>
  <c r="H63" i="41"/>
  <c r="H28" i="41"/>
  <c r="H22" i="41"/>
  <c r="H52" i="41"/>
  <c r="H67" i="41"/>
  <c r="F43" i="41"/>
  <c r="G59" i="41"/>
  <c r="G43" i="41"/>
  <c r="H14" i="41"/>
  <c r="F21" i="41"/>
  <c r="F16" i="41"/>
  <c r="F64" i="41"/>
  <c r="F48" i="41"/>
  <c r="G64" i="41"/>
  <c r="G48" i="41"/>
  <c r="G32" i="41"/>
  <c r="G24" i="41"/>
  <c r="G12" i="41"/>
  <c r="H59" i="41"/>
  <c r="H43" i="41"/>
  <c r="H20" i="41"/>
  <c r="H10" i="41"/>
  <c r="G38" i="41"/>
  <c r="F19" i="41"/>
  <c r="F15" i="41"/>
  <c r="F11" i="41"/>
  <c r="G31" i="41"/>
  <c r="G15" i="41"/>
  <c r="H58" i="41"/>
  <c r="I52" i="41"/>
  <c r="F35" i="41"/>
  <c r="F30" i="41"/>
  <c r="F67" i="41"/>
  <c r="F62" i="41"/>
  <c r="F56" i="41"/>
  <c r="F51" i="41"/>
  <c r="F46" i="41"/>
  <c r="F40" i="41"/>
  <c r="G67" i="41"/>
  <c r="G62" i="41"/>
  <c r="G56" i="41"/>
  <c r="G51" i="41"/>
  <c r="G46" i="41"/>
  <c r="G40" i="41"/>
  <c r="G35" i="41"/>
  <c r="G30" i="41"/>
  <c r="G19" i="41"/>
  <c r="G14" i="41"/>
  <c r="H56" i="41"/>
  <c r="H40" i="41"/>
  <c r="H30" i="41"/>
  <c r="H19" i="41"/>
  <c r="I50" i="41"/>
  <c r="F38" i="41"/>
  <c r="H54" i="41"/>
  <c r="F31" i="41"/>
  <c r="F58" i="41"/>
  <c r="F42" i="41"/>
  <c r="G58" i="41"/>
  <c r="G42" i="41"/>
  <c r="H31" i="41"/>
  <c r="H15" i="41"/>
  <c r="H37" i="41"/>
  <c r="G37" i="41"/>
  <c r="F37" i="41"/>
  <c r="H33" i="41"/>
  <c r="G33" i="41"/>
  <c r="F33" i="41"/>
  <c r="H29" i="41"/>
  <c r="G29" i="41"/>
  <c r="F29" i="41"/>
  <c r="H25" i="41"/>
  <c r="G25" i="41"/>
  <c r="F25" i="41"/>
  <c r="H21" i="41"/>
  <c r="G21" i="41"/>
  <c r="H17" i="41"/>
  <c r="G17" i="41"/>
  <c r="H13" i="41"/>
  <c r="G13" i="41"/>
  <c r="H9" i="41"/>
  <c r="G9" i="41"/>
  <c r="F14" i="41"/>
  <c r="F9" i="41"/>
  <c r="F34" i="41"/>
  <c r="F23" i="41"/>
  <c r="F66" i="41"/>
  <c r="F60" i="41"/>
  <c r="F55" i="41"/>
  <c r="F50" i="41"/>
  <c r="F44" i="41"/>
  <c r="F39" i="41"/>
  <c r="G66" i="41"/>
  <c r="G60" i="41"/>
  <c r="G55" i="41"/>
  <c r="G50" i="41"/>
  <c r="G44" i="41"/>
  <c r="G39" i="41"/>
  <c r="G34" i="41"/>
  <c r="G23" i="41"/>
  <c r="G18" i="41"/>
  <c r="G7" i="41"/>
  <c r="H66" i="41"/>
  <c r="H60" i="41"/>
  <c r="H55" i="41"/>
  <c r="H50" i="41"/>
  <c r="H44" i="41"/>
  <c r="H39" i="41"/>
  <c r="H34" i="41"/>
  <c r="H23" i="41"/>
  <c r="H18" i="41"/>
  <c r="I47" i="41"/>
  <c r="G54" i="41"/>
  <c r="H38" i="41"/>
  <c r="F69" i="41"/>
  <c r="F65" i="41"/>
  <c r="F61" i="41"/>
  <c r="F57" i="41"/>
  <c r="F53" i="41"/>
  <c r="F49" i="41"/>
  <c r="F45" i="41"/>
  <c r="F41" i="41"/>
  <c r="G69" i="41"/>
  <c r="G65" i="41"/>
  <c r="G61" i="41"/>
  <c r="G57" i="41"/>
  <c r="G53" i="41"/>
  <c r="G49" i="41"/>
  <c r="G45" i="41"/>
  <c r="G41" i="41"/>
  <c r="H69" i="41"/>
  <c r="H65" i="41"/>
  <c r="H61" i="41"/>
  <c r="H57" i="41"/>
  <c r="H53" i="41"/>
  <c r="H49" i="41"/>
  <c r="H45" i="41"/>
  <c r="H41" i="41"/>
  <c r="I32" i="41"/>
  <c r="BD77" i="1"/>
  <c r="BD80" i="1"/>
  <c r="FF80" i="1"/>
  <c r="BD81" i="1"/>
  <c r="AT80" i="1"/>
  <c r="AT81" i="1"/>
  <c r="FE81" i="1"/>
  <c r="FD81" i="1"/>
  <c r="FB81" i="1"/>
  <c r="EL81" i="1"/>
  <c r="EF81" i="1"/>
  <c r="DZ81" i="1"/>
  <c r="DN81" i="1"/>
  <c r="DH81" i="1"/>
  <c r="DB81" i="1"/>
  <c r="CV81" i="1"/>
  <c r="CP81" i="1"/>
  <c r="CJ81" i="1"/>
  <c r="BR81" i="1"/>
  <c r="CD81" i="1"/>
  <c r="BX81" i="1"/>
  <c r="BL81" i="1"/>
  <c r="AY81" i="1"/>
  <c r="AH81" i="1"/>
  <c r="AE81" i="1"/>
  <c r="AC81" i="1"/>
  <c r="I66" i="41"/>
  <c r="I68" i="41"/>
  <c r="I22" i="41"/>
  <c r="I35" i="41"/>
  <c r="I33" i="41"/>
  <c r="I16" i="41"/>
  <c r="I15" i="41"/>
  <c r="I65" i="41"/>
  <c r="I20" i="41"/>
  <c r="I36" i="41"/>
  <c r="I23" i="41"/>
  <c r="I55" i="41"/>
  <c r="I10" i="41"/>
  <c r="I26" i="41"/>
  <c r="I38" i="41"/>
  <c r="I54" i="41"/>
  <c r="I9" i="41"/>
  <c r="I40" i="41"/>
  <c r="I56" i="41"/>
  <c r="I11" i="41"/>
  <c r="I21" i="41"/>
  <c r="I29" i="41"/>
  <c r="I37" i="41"/>
  <c r="I25" i="41"/>
  <c r="I8" i="41"/>
  <c r="I24" i="41"/>
  <c r="I31" i="41"/>
  <c r="I63" i="41"/>
  <c r="I14" i="41"/>
  <c r="I30" i="41"/>
  <c r="I42" i="41"/>
  <c r="I58" i="41"/>
  <c r="I17" i="41"/>
  <c r="I44" i="41"/>
  <c r="I60" i="41"/>
  <c r="I19" i="41"/>
  <c r="I43" i="41"/>
  <c r="I45" i="41"/>
  <c r="I13" i="41"/>
  <c r="I12" i="41"/>
  <c r="I28" i="41"/>
  <c r="I39" i="41"/>
  <c r="I7" i="41"/>
  <c r="I18" i="41"/>
  <c r="I34" i="41"/>
  <c r="I46" i="41"/>
  <c r="I62" i="41"/>
  <c r="I48" i="41"/>
  <c r="I64" i="41"/>
  <c r="I27" i="41"/>
  <c r="I53" i="41"/>
  <c r="I59" i="41"/>
  <c r="J2" i="41"/>
  <c r="I41" i="41"/>
  <c r="I51" i="41"/>
  <c r="I69" i="41"/>
  <c r="I49" i="41"/>
  <c r="I61" i="41"/>
  <c r="FE80" i="1"/>
  <c r="K2" i="41"/>
  <c r="J49" i="41"/>
  <c r="J69" i="41"/>
  <c r="J61" i="41"/>
  <c r="J45" i="41"/>
  <c r="J52" i="41"/>
  <c r="J37" i="41"/>
  <c r="J24" i="41"/>
  <c r="J32" i="41"/>
  <c r="J66" i="41"/>
  <c r="J68" i="41"/>
  <c r="J35" i="41"/>
  <c r="J64" i="41"/>
  <c r="J57" i="41"/>
  <c r="J21" i="41"/>
  <c r="J50" i="41"/>
  <c r="J16" i="41"/>
  <c r="J8" i="41"/>
  <c r="J15" i="41"/>
  <c r="J11" i="41"/>
  <c r="J44" i="41"/>
  <c r="J53" i="41"/>
  <c r="J65" i="41"/>
  <c r="J43" i="41"/>
  <c r="J56" i="41"/>
  <c r="J62" i="41"/>
  <c r="J48" i="41"/>
  <c r="J31" i="41"/>
  <c r="J23" i="41"/>
  <c r="J46" i="41"/>
  <c r="J30" i="41"/>
  <c r="J26" i="41"/>
  <c r="J42" i="41"/>
  <c r="J14" i="41"/>
  <c r="J17" i="41"/>
  <c r="J59" i="41"/>
  <c r="J51" i="41"/>
  <c r="J40" i="41"/>
  <c r="J58" i="41"/>
  <c r="J38" i="41"/>
  <c r="J18" i="41"/>
  <c r="J33" i="41"/>
  <c r="J25" i="41"/>
  <c r="J47" i="41"/>
  <c r="J60" i="41"/>
  <c r="J19" i="41"/>
  <c r="J22" i="41"/>
  <c r="J67" i="41"/>
  <c r="J63" i="41"/>
  <c r="J39" i="41"/>
  <c r="J29" i="41"/>
  <c r="J34" i="41"/>
  <c r="J10" i="41"/>
  <c r="J27" i="41"/>
  <c r="J20" i="41"/>
  <c r="J55" i="41"/>
  <c r="J7" i="41"/>
  <c r="J9" i="41"/>
  <c r="J36" i="41"/>
  <c r="J12" i="41"/>
  <c r="J54" i="41"/>
  <c r="J41" i="41"/>
  <c r="J28" i="41"/>
  <c r="J13" i="41"/>
  <c r="DH80" i="1"/>
  <c r="L2" i="41"/>
  <c r="K26" i="41"/>
  <c r="K10" i="41"/>
  <c r="K44" i="41"/>
  <c r="K15" i="41"/>
  <c r="K36" i="41"/>
  <c r="K20" i="41"/>
  <c r="K58" i="41"/>
  <c r="K27" i="41"/>
  <c r="K23" i="41"/>
  <c r="K11" i="41"/>
  <c r="K63" i="41"/>
  <c r="K12" i="41"/>
  <c r="K19" i="41"/>
  <c r="K60" i="41"/>
  <c r="K56" i="41"/>
  <c r="K52" i="41"/>
  <c r="K48" i="41"/>
  <c r="K62" i="41"/>
  <c r="K28" i="41"/>
  <c r="K31" i="41"/>
  <c r="K54" i="41"/>
  <c r="K46" i="41"/>
  <c r="K38" i="41"/>
  <c r="K35" i="41"/>
  <c r="K30" i="41"/>
  <c r="K40" i="41"/>
  <c r="K66" i="41"/>
  <c r="K50" i="41"/>
  <c r="K67" i="41"/>
  <c r="K59" i="41"/>
  <c r="K47" i="41"/>
  <c r="K61" i="41"/>
  <c r="K34" i="41"/>
  <c r="K22" i="41"/>
  <c r="K33" i="41"/>
  <c r="K29" i="41"/>
  <c r="K25" i="41"/>
  <c r="K18" i="41"/>
  <c r="K14" i="41"/>
  <c r="K21" i="41"/>
  <c r="K13" i="41"/>
  <c r="K55" i="41"/>
  <c r="K42" i="41"/>
  <c r="K9" i="41"/>
  <c r="K43" i="41"/>
  <c r="K65" i="41"/>
  <c r="K53" i="41"/>
  <c r="K39" i="41"/>
  <c r="K68" i="41"/>
  <c r="K57" i="41"/>
  <c r="K49" i="41"/>
  <c r="K41" i="41"/>
  <c r="K45" i="41"/>
  <c r="K32" i="41"/>
  <c r="K17" i="41"/>
  <c r="K64" i="41"/>
  <c r="K24" i="41"/>
  <c r="K16" i="41"/>
  <c r="K7" i="41"/>
  <c r="K37" i="41"/>
  <c r="K69" i="41"/>
  <c r="K8" i="41"/>
  <c r="K51" i="41"/>
  <c r="FD80" i="1"/>
  <c r="ER80" i="1"/>
  <c r="EL80" i="1"/>
  <c r="EF80" i="1"/>
  <c r="EF73" i="1"/>
  <c r="EF74" i="1"/>
  <c r="EF75" i="1"/>
  <c r="EF76" i="1"/>
  <c r="EF77" i="1"/>
  <c r="EF78" i="1"/>
  <c r="EF79" i="1"/>
  <c r="EF72" i="1"/>
  <c r="EF71" i="1"/>
  <c r="DZ80" i="1"/>
  <c r="DZ72" i="1"/>
  <c r="DZ73" i="1"/>
  <c r="DZ74" i="1"/>
  <c r="DZ75" i="1"/>
  <c r="DZ76" i="1"/>
  <c r="DZ77" i="1"/>
  <c r="DZ78" i="1"/>
  <c r="DZ79" i="1"/>
  <c r="DT72" i="1"/>
  <c r="DT73" i="1"/>
  <c r="DT74" i="1"/>
  <c r="DT75" i="1"/>
  <c r="DT76" i="1"/>
  <c r="DT77" i="1"/>
  <c r="DT78" i="1"/>
  <c r="DT79" i="1"/>
  <c r="DT80" i="1"/>
  <c r="DN72" i="1"/>
  <c r="DN73" i="1"/>
  <c r="DN74" i="1"/>
  <c r="DN75" i="1"/>
  <c r="DN76" i="1"/>
  <c r="DN77" i="1"/>
  <c r="DN78" i="1"/>
  <c r="DN79" i="1"/>
  <c r="DN80" i="1"/>
  <c r="DH72" i="1"/>
  <c r="DH73" i="1"/>
  <c r="DH74" i="1"/>
  <c r="DH75" i="1"/>
  <c r="DH76" i="1"/>
  <c r="DH77" i="1"/>
  <c r="DH78" i="1"/>
  <c r="DH79" i="1"/>
  <c r="DB72" i="1"/>
  <c r="DB73" i="1"/>
  <c r="DB74" i="1"/>
  <c r="DB75" i="1"/>
  <c r="DB76" i="1"/>
  <c r="DB77" i="1"/>
  <c r="DB78" i="1"/>
  <c r="DB79" i="1"/>
  <c r="DB80" i="1"/>
  <c r="CV72" i="1"/>
  <c r="CV73" i="1"/>
  <c r="CV74" i="1"/>
  <c r="CV75" i="1"/>
  <c r="CV76" i="1"/>
  <c r="CV77" i="1"/>
  <c r="CV78" i="1"/>
  <c r="CV79" i="1"/>
  <c r="CV80" i="1"/>
  <c r="CP72" i="1"/>
  <c r="CP73" i="1"/>
  <c r="CP74" i="1"/>
  <c r="CP75" i="1"/>
  <c r="CP76" i="1"/>
  <c r="CP77" i="1"/>
  <c r="CP78" i="1"/>
  <c r="CP79" i="1"/>
  <c r="CP80" i="1"/>
  <c r="CJ80" i="1"/>
  <c r="CJ72" i="1"/>
  <c r="CJ73" i="1"/>
  <c r="CJ74" i="1"/>
  <c r="CJ75" i="1"/>
  <c r="CJ76" i="1"/>
  <c r="CJ77" i="1"/>
  <c r="CJ78" i="1"/>
  <c r="CJ79" i="1"/>
  <c r="CD72" i="1"/>
  <c r="CD73" i="1"/>
  <c r="CD74" i="1"/>
  <c r="CD75" i="1"/>
  <c r="CD76" i="1"/>
  <c r="CD77" i="1"/>
  <c r="CD78" i="1"/>
  <c r="CD79" i="1"/>
  <c r="CD80" i="1"/>
  <c r="BX80" i="1"/>
  <c r="BX76" i="1"/>
  <c r="BX77" i="1"/>
  <c r="BX78" i="1"/>
  <c r="BX79" i="1"/>
  <c r="BX75" i="1"/>
  <c r="BX74" i="1"/>
  <c r="BR80" i="1"/>
  <c r="BR79" i="1"/>
  <c r="BR78" i="1"/>
  <c r="BR77" i="1"/>
  <c r="BR75" i="1"/>
  <c r="BR76" i="1"/>
  <c r="BR74" i="1"/>
  <c r="BR73" i="1"/>
  <c r="M2" i="41"/>
  <c r="L49" i="41"/>
  <c r="L41" i="41"/>
  <c r="L65" i="41"/>
  <c r="L14" i="41"/>
  <c r="L68" i="41"/>
  <c r="L51" i="41"/>
  <c r="L31" i="41"/>
  <c r="L27" i="41"/>
  <c r="L23" i="41"/>
  <c r="L15" i="41"/>
  <c r="L11" i="41"/>
  <c r="L52" i="41"/>
  <c r="L48" i="41"/>
  <c r="L67" i="41"/>
  <c r="L58" i="41"/>
  <c r="L9" i="41"/>
  <c r="L35" i="41"/>
  <c r="L56" i="41"/>
  <c r="L44" i="41"/>
  <c r="L42" i="41"/>
  <c r="L7" i="41"/>
  <c r="L34" i="41"/>
  <c r="L30" i="41"/>
  <c r="L64" i="41"/>
  <c r="L22" i="41"/>
  <c r="L18" i="41"/>
  <c r="L10" i="41"/>
  <c r="L37" i="41"/>
  <c r="L55" i="41"/>
  <c r="L32" i="41"/>
  <c r="L20" i="41"/>
  <c r="L57" i="41"/>
  <c r="L54" i="41"/>
  <c r="L38" i="41"/>
  <c r="L26" i="41"/>
  <c r="L29" i="41"/>
  <c r="L60" i="41"/>
  <c r="L40" i="41"/>
  <c r="L17" i="41"/>
  <c r="L13" i="41"/>
  <c r="L63" i="41"/>
  <c r="L59" i="41"/>
  <c r="L47" i="41"/>
  <c r="L43" i="41"/>
  <c r="L46" i="41"/>
  <c r="L33" i="41"/>
  <c r="L21" i="41"/>
  <c r="L16" i="41"/>
  <c r="L28" i="41"/>
  <c r="L50" i="41"/>
  <c r="L39" i="41"/>
  <c r="L62" i="41"/>
  <c r="L19" i="41"/>
  <c r="L36" i="41"/>
  <c r="L24" i="41"/>
  <c r="L12" i="41"/>
  <c r="L8" i="41"/>
  <c r="L66" i="41"/>
  <c r="L45" i="41"/>
  <c r="L53" i="41"/>
  <c r="L25" i="41"/>
  <c r="L69" i="41"/>
  <c r="L61" i="41"/>
  <c r="DF80" i="1"/>
  <c r="EJ80" i="1"/>
  <c r="N2" i="41"/>
  <c r="M61" i="41"/>
  <c r="M53" i="41"/>
  <c r="M32" i="41"/>
  <c r="M45" i="41"/>
  <c r="M27" i="41"/>
  <c r="M23" i="41"/>
  <c r="M11" i="41"/>
  <c r="M48" i="41"/>
  <c r="M69" i="41"/>
  <c r="M8" i="41"/>
  <c r="M29" i="41"/>
  <c r="M16" i="41"/>
  <c r="M31" i="41"/>
  <c r="M24" i="41"/>
  <c r="M13" i="41"/>
  <c r="M19" i="41"/>
  <c r="M68" i="41"/>
  <c r="M64" i="41"/>
  <c r="M40" i="41"/>
  <c r="M44" i="41"/>
  <c r="M62" i="41"/>
  <c r="M54" i="41"/>
  <c r="M38" i="41"/>
  <c r="M35" i="41"/>
  <c r="M15" i="41"/>
  <c r="M60" i="41"/>
  <c r="M52" i="41"/>
  <c r="M56" i="41"/>
  <c r="M7" i="41"/>
  <c r="M26" i="41"/>
  <c r="M10" i="41"/>
  <c r="M47" i="41"/>
  <c r="M34" i="41"/>
  <c r="M66" i="41"/>
  <c r="M58" i="41"/>
  <c r="M22" i="41"/>
  <c r="M37" i="41"/>
  <c r="M33" i="41"/>
  <c r="M46" i="41"/>
  <c r="M30" i="41"/>
  <c r="M9" i="41"/>
  <c r="M67" i="41"/>
  <c r="M39" i="41"/>
  <c r="M42" i="41"/>
  <c r="M14" i="41"/>
  <c r="M51" i="41"/>
  <c r="M18" i="41"/>
  <c r="M21" i="41"/>
  <c r="M17" i="41"/>
  <c r="M25" i="41"/>
  <c r="M63" i="41"/>
  <c r="M55" i="41"/>
  <c r="M12" i="41"/>
  <c r="M57" i="41"/>
  <c r="M28" i="41"/>
  <c r="M50" i="41"/>
  <c r="M65" i="41"/>
  <c r="M41" i="41"/>
  <c r="M20" i="41"/>
  <c r="M59" i="41"/>
  <c r="M49" i="41"/>
  <c r="M36" i="41"/>
  <c r="M43" i="41"/>
  <c r="A38" i="38"/>
  <c r="DX80" i="1"/>
  <c r="CH80" i="1"/>
  <c r="N49" i="41"/>
  <c r="O2" i="41"/>
  <c r="N65" i="41"/>
  <c r="N39" i="41"/>
  <c r="N11" i="41"/>
  <c r="N23" i="41"/>
  <c r="N62" i="41"/>
  <c r="N41" i="41"/>
  <c r="N17" i="41"/>
  <c r="N31" i="41"/>
  <c r="N57" i="41"/>
  <c r="N44" i="41"/>
  <c r="N12" i="41"/>
  <c r="N55" i="41"/>
  <c r="N64" i="41"/>
  <c r="N52" i="41"/>
  <c r="N40" i="41"/>
  <c r="N60" i="41"/>
  <c r="N48" i="41"/>
  <c r="N66" i="41"/>
  <c r="N50" i="41"/>
  <c r="N46" i="41"/>
  <c r="N7" i="41"/>
  <c r="N30" i="41"/>
  <c r="N26" i="41"/>
  <c r="N28" i="41"/>
  <c r="N27" i="41"/>
  <c r="N19" i="41"/>
  <c r="N68" i="41"/>
  <c r="N56" i="41"/>
  <c r="N58" i="41"/>
  <c r="N42" i="41"/>
  <c r="N25" i="41"/>
  <c r="N13" i="41"/>
  <c r="N67" i="41"/>
  <c r="N15" i="41"/>
  <c r="N38" i="41"/>
  <c r="N18" i="41"/>
  <c r="N34" i="41"/>
  <c r="N22" i="41"/>
  <c r="N10" i="41"/>
  <c r="N21" i="41"/>
  <c r="N9" i="41"/>
  <c r="N33" i="41"/>
  <c r="N37" i="41"/>
  <c r="N54" i="41"/>
  <c r="N59" i="41"/>
  <c r="N51" i="41"/>
  <c r="N43" i="41"/>
  <c r="N35" i="41"/>
  <c r="N63" i="41"/>
  <c r="N16" i="41"/>
  <c r="N61" i="41"/>
  <c r="N14" i="41"/>
  <c r="N47" i="41"/>
  <c r="N69" i="41"/>
  <c r="N36" i="41"/>
  <c r="N45" i="41"/>
  <c r="N32" i="41"/>
  <c r="N8" i="41"/>
  <c r="N29" i="41"/>
  <c r="N53" i="41"/>
  <c r="N20" i="41"/>
  <c r="N24" i="41"/>
  <c r="BN80" i="1"/>
  <c r="AY80" i="1"/>
  <c r="AR79" i="1"/>
  <c r="AO80" i="1"/>
  <c r="AJ80" i="1"/>
  <c r="AE80" i="1"/>
  <c r="Z80" i="1"/>
  <c r="Z78" i="1"/>
  <c r="Z79" i="1"/>
  <c r="X80" i="1"/>
  <c r="P2" i="41"/>
  <c r="O7" i="41"/>
  <c r="O16" i="41"/>
  <c r="O43" i="41"/>
  <c r="O19" i="41"/>
  <c r="O68" i="41"/>
  <c r="O60" i="41"/>
  <c r="O56" i="41"/>
  <c r="O52" i="41"/>
  <c r="O48" i="41"/>
  <c r="O38" i="41"/>
  <c r="O15" i="41"/>
  <c r="O59" i="41"/>
  <c r="O32" i="41"/>
  <c r="O64" i="41"/>
  <c r="O31" i="41"/>
  <c r="O23" i="41"/>
  <c r="O58" i="41"/>
  <c r="O40" i="41"/>
  <c r="O34" i="41"/>
  <c r="O44" i="41"/>
  <c r="O66" i="41"/>
  <c r="O62" i="41"/>
  <c r="O22" i="41"/>
  <c r="O46" i="41"/>
  <c r="O42" i="41"/>
  <c r="O35" i="41"/>
  <c r="O30" i="41"/>
  <c r="O26" i="41"/>
  <c r="O33" i="41"/>
  <c r="O29" i="41"/>
  <c r="O25" i="41"/>
  <c r="O9" i="41"/>
  <c r="O63" i="41"/>
  <c r="O55" i="41"/>
  <c r="O39" i="41"/>
  <c r="O11" i="41"/>
  <c r="O69" i="41"/>
  <c r="O65" i="41"/>
  <c r="O57" i="41"/>
  <c r="O50" i="41"/>
  <c r="O14" i="41"/>
  <c r="O10" i="41"/>
  <c r="O37" i="41"/>
  <c r="O17" i="41"/>
  <c r="O51" i="41"/>
  <c r="O47" i="41"/>
  <c r="O27" i="41"/>
  <c r="O61" i="41"/>
  <c r="O13" i="41"/>
  <c r="O54" i="41"/>
  <c r="O49" i="41"/>
  <c r="O41" i="41"/>
  <c r="O18" i="41"/>
  <c r="O67" i="41"/>
  <c r="O45" i="41"/>
  <c r="O8" i="41"/>
  <c r="O28" i="41"/>
  <c r="O36" i="41"/>
  <c r="O12" i="41"/>
  <c r="O21" i="41"/>
  <c r="O53" i="41"/>
  <c r="O24" i="41"/>
  <c r="O20" i="41"/>
  <c r="FB80" i="1"/>
  <c r="EP80" i="1"/>
  <c r="ED80" i="1"/>
  <c r="DR80" i="1"/>
  <c r="CZ80" i="1"/>
  <c r="CT80" i="1"/>
  <c r="CN80" i="1"/>
  <c r="CB80" i="1"/>
  <c r="BV80" i="1"/>
  <c r="BP80" i="1"/>
  <c r="P69" i="41"/>
  <c r="Q2" i="41"/>
  <c r="R2" i="41"/>
  <c r="R59" i="41"/>
  <c r="P31" i="41"/>
  <c r="P44" i="41"/>
  <c r="P23" i="41"/>
  <c r="P19" i="41"/>
  <c r="P15" i="41"/>
  <c r="P64" i="41"/>
  <c r="P52" i="41"/>
  <c r="P40" i="41"/>
  <c r="P28" i="41"/>
  <c r="P68" i="41"/>
  <c r="P60" i="41"/>
  <c r="P63" i="41"/>
  <c r="P27" i="41"/>
  <c r="P66" i="41"/>
  <c r="P20" i="41"/>
  <c r="P46" i="41"/>
  <c r="P38" i="41"/>
  <c r="P35" i="41"/>
  <c r="P56" i="41"/>
  <c r="P33" i="41"/>
  <c r="P29" i="41"/>
  <c r="P9" i="41"/>
  <c r="P47" i="41"/>
  <c r="P16" i="41"/>
  <c r="P57" i="41"/>
  <c r="P30" i="41"/>
  <c r="P22" i="41"/>
  <c r="P18" i="41"/>
  <c r="P54" i="41"/>
  <c r="P7" i="41"/>
  <c r="P34" i="41"/>
  <c r="P21" i="41"/>
  <c r="P17" i="41"/>
  <c r="P13" i="41"/>
  <c r="P59" i="41"/>
  <c r="P51" i="41"/>
  <c r="P43" i="41"/>
  <c r="P39" i="41"/>
  <c r="P25" i="41"/>
  <c r="P45" i="41"/>
  <c r="P11" i="41"/>
  <c r="P48" i="41"/>
  <c r="P62" i="41"/>
  <c r="P26" i="41"/>
  <c r="P55" i="41"/>
  <c r="P42" i="41"/>
  <c r="P53" i="41"/>
  <c r="P41" i="41"/>
  <c r="P58" i="41"/>
  <c r="P14" i="41"/>
  <c r="P37" i="41"/>
  <c r="P50" i="41"/>
  <c r="P61" i="41"/>
  <c r="P8" i="41"/>
  <c r="P12" i="41"/>
  <c r="P10" i="41"/>
  <c r="P49" i="41"/>
  <c r="P24" i="41"/>
  <c r="P67" i="41"/>
  <c r="P32" i="41"/>
  <c r="P65" i="41"/>
  <c r="P36" i="41"/>
  <c r="AB8" i="22"/>
  <c r="AB9" i="22"/>
  <c r="AB10" i="22"/>
  <c r="AB11" i="22"/>
  <c r="AB12" i="22"/>
  <c r="AB13" i="22"/>
  <c r="AB14" i="22"/>
  <c r="AB15" i="22"/>
  <c r="AB16" i="22"/>
  <c r="AB17" i="22"/>
  <c r="AB18" i="22"/>
  <c r="AB19" i="22"/>
  <c r="AB20" i="22"/>
  <c r="AB21" i="22"/>
  <c r="AB22" i="22"/>
  <c r="AB23" i="22"/>
  <c r="AB24" i="22"/>
  <c r="AB25" i="22"/>
  <c r="AB26" i="22"/>
  <c r="AB27" i="22"/>
  <c r="AB7" i="22"/>
  <c r="Z36" i="22"/>
  <c r="Z55" i="22"/>
  <c r="Z56" i="22"/>
  <c r="Z57" i="22"/>
  <c r="Z58" i="22"/>
  <c r="Z59" i="22"/>
  <c r="Z60" i="22"/>
  <c r="Z61" i="22"/>
  <c r="Z62" i="22"/>
  <c r="Z63" i="22"/>
  <c r="Z64" i="22"/>
  <c r="Z65" i="22"/>
  <c r="Z66" i="22"/>
  <c r="Z67" i="22"/>
  <c r="Z68" i="22"/>
  <c r="Z69" i="22"/>
  <c r="Z70" i="22"/>
  <c r="Z71" i="22"/>
  <c r="AC79" i="1"/>
  <c r="AC78" i="1"/>
  <c r="Q49" i="41"/>
  <c r="Q41" i="41"/>
  <c r="Q31" i="41"/>
  <c r="Q27" i="41"/>
  <c r="Q23" i="41"/>
  <c r="Q19" i="41"/>
  <c r="Q68" i="41"/>
  <c r="Q60" i="41"/>
  <c r="Q56" i="41"/>
  <c r="Q40" i="41"/>
  <c r="Q15" i="41"/>
  <c r="Q64" i="41"/>
  <c r="Q11" i="41"/>
  <c r="Q52" i="41"/>
  <c r="Q66" i="41"/>
  <c r="Q48" i="41"/>
  <c r="Q58" i="41"/>
  <c r="Q42" i="41"/>
  <c r="Q62" i="41"/>
  <c r="Q50" i="41"/>
  <c r="Q35" i="41"/>
  <c r="Q34" i="41"/>
  <c r="Q30" i="41"/>
  <c r="Q38" i="41"/>
  <c r="Q7" i="41"/>
  <c r="Q22" i="41"/>
  <c r="Q33" i="41"/>
  <c r="Q21" i="41"/>
  <c r="Q63" i="41"/>
  <c r="Q43" i="41"/>
  <c r="Q39" i="41"/>
  <c r="Q28" i="41"/>
  <c r="Q24" i="41"/>
  <c r="Q20" i="41"/>
  <c r="Q16" i="41"/>
  <c r="Q53" i="41"/>
  <c r="Q46" i="41"/>
  <c r="Q10" i="41"/>
  <c r="Q37" i="41"/>
  <c r="Q25" i="41"/>
  <c r="Q44" i="41"/>
  <c r="Q54" i="41"/>
  <c r="Q14" i="41"/>
  <c r="Q29" i="41"/>
  <c r="Q67" i="41"/>
  <c r="Q55" i="41"/>
  <c r="Q18" i="41"/>
  <c r="Q17" i="41"/>
  <c r="Q59" i="41"/>
  <c r="Q32" i="41"/>
  <c r="Q47" i="41"/>
  <c r="Q13" i="41"/>
  <c r="Q9" i="41"/>
  <c r="Q51" i="41"/>
  <c r="Q12" i="41"/>
  <c r="Q69" i="41"/>
  <c r="Q61" i="41"/>
  <c r="Q65" i="41"/>
  <c r="Q36" i="41"/>
  <c r="Q45" i="41"/>
  <c r="Q57" i="41"/>
  <c r="Q26" i="41"/>
  <c r="Q8" i="41"/>
  <c r="E37" i="22"/>
  <c r="L37" i="22" s="1"/>
  <c r="C29" i="22"/>
  <c r="D29" i="22"/>
  <c r="E29" i="22"/>
  <c r="F29" i="22"/>
  <c r="L29" i="22" s="1"/>
  <c r="AC29" i="22" s="1"/>
  <c r="G29" i="22"/>
  <c r="H29" i="22"/>
  <c r="I29" i="22"/>
  <c r="J29" i="22"/>
  <c r="K29" i="22"/>
  <c r="S29" i="22"/>
  <c r="T29" i="22"/>
  <c r="U29" i="22"/>
  <c r="V29" i="22"/>
  <c r="W29" i="22"/>
  <c r="X29" i="22"/>
  <c r="R29" i="22"/>
  <c r="Q29" i="22"/>
  <c r="P29" i="22"/>
  <c r="O29" i="22"/>
  <c r="N29" i="22"/>
  <c r="AB29" i="22" s="1"/>
  <c r="AD29" i="22" s="1"/>
  <c r="M29" i="22"/>
  <c r="K28" i="22"/>
  <c r="J28" i="22"/>
  <c r="I28" i="22"/>
  <c r="H28" i="22"/>
  <c r="G28" i="22"/>
  <c r="F28" i="22"/>
  <c r="E28" i="22"/>
  <c r="D28" i="22"/>
  <c r="C28" i="22"/>
  <c r="L28" i="22" s="1"/>
  <c r="AC28" i="22" s="1"/>
  <c r="X28" i="22"/>
  <c r="W28" i="22"/>
  <c r="V28" i="22"/>
  <c r="U28" i="22"/>
  <c r="T28" i="22"/>
  <c r="S28" i="22"/>
  <c r="B12" i="36" s="1"/>
  <c r="A12" i="36" s="1"/>
  <c r="R28" i="22"/>
  <c r="Q28" i="22"/>
  <c r="P28" i="22"/>
  <c r="O28" i="22"/>
  <c r="N28" i="22"/>
  <c r="M28" i="22"/>
  <c r="B8" i="36"/>
  <c r="A8" i="36" s="1"/>
  <c r="B9" i="36"/>
  <c r="A9" i="36" s="1"/>
  <c r="B10" i="36"/>
  <c r="A10" i="36" s="1"/>
  <c r="B11" i="36"/>
  <c r="A11" i="36" s="1"/>
  <c r="B7" i="36"/>
  <c r="S2" i="41"/>
  <c r="S59" i="41"/>
  <c r="R69" i="41"/>
  <c r="R27" i="41"/>
  <c r="R15" i="41"/>
  <c r="R11" i="41"/>
  <c r="R64" i="41"/>
  <c r="R60" i="41"/>
  <c r="R66" i="41"/>
  <c r="R61" i="41"/>
  <c r="R31" i="41"/>
  <c r="R68" i="41"/>
  <c r="R56" i="41"/>
  <c r="R23" i="41"/>
  <c r="R19" i="41"/>
  <c r="R52" i="41"/>
  <c r="R50" i="41"/>
  <c r="R40" i="41"/>
  <c r="R58" i="41"/>
  <c r="R54" i="41"/>
  <c r="R7" i="41"/>
  <c r="R34" i="41"/>
  <c r="R46" i="41"/>
  <c r="R35" i="41"/>
  <c r="R30" i="41"/>
  <c r="R26" i="41"/>
  <c r="R22" i="41"/>
  <c r="R18" i="41"/>
  <c r="R63" i="41"/>
  <c r="R51" i="41"/>
  <c r="R48" i="41"/>
  <c r="R62" i="41"/>
  <c r="R42" i="41"/>
  <c r="R33" i="41"/>
  <c r="R38" i="41"/>
  <c r="R14" i="41"/>
  <c r="R10" i="41"/>
  <c r="R37" i="41"/>
  <c r="R29" i="41"/>
  <c r="R55" i="41"/>
  <c r="R43" i="41"/>
  <c r="R39" i="41"/>
  <c r="R21" i="41"/>
  <c r="R13" i="41"/>
  <c r="R12" i="41"/>
  <c r="R41" i="41"/>
  <c r="R25" i="41"/>
  <c r="R17" i="41"/>
  <c r="R36" i="41"/>
  <c r="R24" i="41"/>
  <c r="R8" i="41"/>
  <c r="R57" i="41"/>
  <c r="R67" i="41"/>
  <c r="R20" i="41"/>
  <c r="R44" i="41"/>
  <c r="R47" i="41"/>
  <c r="R28" i="41"/>
  <c r="R32" i="41"/>
  <c r="R16" i="41"/>
  <c r="R53" i="41"/>
  <c r="R9" i="41"/>
  <c r="R49" i="41"/>
  <c r="R45" i="41"/>
  <c r="R65" i="41"/>
  <c r="AB28" i="22"/>
  <c r="AD28" i="22" s="1"/>
  <c r="FK77" i="1"/>
  <c r="T2" i="41"/>
  <c r="T59" i="41"/>
  <c r="S41" i="41"/>
  <c r="S15" i="41"/>
  <c r="S56" i="41"/>
  <c r="S40" i="41"/>
  <c r="S62" i="41"/>
  <c r="S27" i="41"/>
  <c r="S19" i="41"/>
  <c r="S11" i="41"/>
  <c r="S48" i="41"/>
  <c r="S64" i="41"/>
  <c r="S44" i="41"/>
  <c r="S20" i="41"/>
  <c r="S31" i="41"/>
  <c r="S23" i="41"/>
  <c r="S68" i="41"/>
  <c r="S7" i="41"/>
  <c r="S30" i="41"/>
  <c r="S60" i="41"/>
  <c r="S58" i="41"/>
  <c r="S50" i="41"/>
  <c r="S26" i="41"/>
  <c r="S52" i="41"/>
  <c r="S54" i="41"/>
  <c r="S38" i="41"/>
  <c r="S14" i="41"/>
  <c r="S37" i="41"/>
  <c r="S13" i="41"/>
  <c r="S9" i="41"/>
  <c r="S55" i="41"/>
  <c r="S51" i="41"/>
  <c r="S43" i="41"/>
  <c r="S24" i="41"/>
  <c r="S12" i="41"/>
  <c r="S8" i="41"/>
  <c r="S66" i="41"/>
  <c r="S34" i="41"/>
  <c r="S42" i="41"/>
  <c r="S35" i="41"/>
  <c r="S22" i="41"/>
  <c r="S18" i="41"/>
  <c r="S25" i="41"/>
  <c r="S63" i="41"/>
  <c r="S10" i="41"/>
  <c r="S67" i="41"/>
  <c r="S28" i="41"/>
  <c r="S49" i="41"/>
  <c r="S32" i="41"/>
  <c r="S69" i="41"/>
  <c r="S45" i="41"/>
  <c r="S29" i="41"/>
  <c r="S21" i="41"/>
  <c r="S17" i="41"/>
  <c r="S47" i="41"/>
  <c r="S39" i="41"/>
  <c r="S16" i="41"/>
  <c r="S53" i="41"/>
  <c r="S65" i="41"/>
  <c r="S57" i="41"/>
  <c r="S36" i="41"/>
  <c r="S46" i="41"/>
  <c r="S33" i="41"/>
  <c r="S61" i="41"/>
  <c r="A37" i="38"/>
  <c r="U2" i="41"/>
  <c r="U59" i="41"/>
  <c r="T52" i="41"/>
  <c r="T48" i="41"/>
  <c r="T27" i="41"/>
  <c r="T23" i="41"/>
  <c r="T15" i="41"/>
  <c r="T11" i="41"/>
  <c r="T68" i="41"/>
  <c r="T60" i="41"/>
  <c r="T44" i="41"/>
  <c r="T19" i="41"/>
  <c r="T66" i="41"/>
  <c r="T64" i="41"/>
  <c r="T40" i="41"/>
  <c r="T62" i="41"/>
  <c r="T35" i="41"/>
  <c r="T34" i="41"/>
  <c r="T54" i="41"/>
  <c r="T38" i="41"/>
  <c r="T31" i="41"/>
  <c r="T50" i="41"/>
  <c r="T7" i="41"/>
  <c r="T10" i="41"/>
  <c r="T51" i="41"/>
  <c r="T32" i="41"/>
  <c r="T28" i="41"/>
  <c r="T61" i="41"/>
  <c r="T56" i="41"/>
  <c r="T46" i="41"/>
  <c r="T30" i="41"/>
  <c r="T14" i="41"/>
  <c r="T58" i="41"/>
  <c r="T26" i="41"/>
  <c r="T37" i="41"/>
  <c r="T25" i="41"/>
  <c r="T63" i="41"/>
  <c r="T55" i="41"/>
  <c r="T17" i="41"/>
  <c r="T47" i="41"/>
  <c r="T36" i="41"/>
  <c r="T24" i="41"/>
  <c r="T8" i="41"/>
  <c r="T69" i="41"/>
  <c r="T53" i="41"/>
  <c r="T41" i="41"/>
  <c r="T18" i="41"/>
  <c r="T29" i="41"/>
  <c r="T21" i="41"/>
  <c r="T9" i="41"/>
  <c r="T67" i="41"/>
  <c r="T20" i="41"/>
  <c r="T16" i="41"/>
  <c r="T12" i="41"/>
  <c r="T65" i="41"/>
  <c r="T42" i="41"/>
  <c r="T22" i="41"/>
  <c r="T33" i="41"/>
  <c r="T57" i="41"/>
  <c r="T49" i="41"/>
  <c r="T39" i="41"/>
  <c r="T45" i="41"/>
  <c r="T13" i="41"/>
  <c r="T43" i="41"/>
  <c r="ER79" i="1"/>
  <c r="FE79" i="1"/>
  <c r="FC79" i="1"/>
  <c r="FA79" i="1"/>
  <c r="ET79" i="1"/>
  <c r="Z37" i="22"/>
  <c r="EN79" i="1"/>
  <c r="Y37" i="22"/>
  <c r="EL79" i="1"/>
  <c r="EH79" i="1"/>
  <c r="R37" i="22"/>
  <c r="EB79" i="1"/>
  <c r="S37" i="22"/>
  <c r="DP79" i="1"/>
  <c r="X37" i="22"/>
  <c r="DJ79" i="1"/>
  <c r="O37" i="22"/>
  <c r="DD79" i="1"/>
  <c r="Q37" i="22"/>
  <c r="CX79" i="1"/>
  <c r="U37" i="22"/>
  <c r="CR79" i="1"/>
  <c r="M37" i="22"/>
  <c r="CL79" i="1"/>
  <c r="N37" i="22"/>
  <c r="CF79" i="1"/>
  <c r="V37" i="22"/>
  <c r="BZ79" i="1"/>
  <c r="T37" i="22"/>
  <c r="BT79" i="1"/>
  <c r="W37" i="22"/>
  <c r="BN79" i="1"/>
  <c r="BL79" i="1"/>
  <c r="BG79" i="1"/>
  <c r="BF79" i="1"/>
  <c r="BI79" i="1"/>
  <c r="J37" i="22"/>
  <c r="AW79" i="1"/>
  <c r="AY79" i="1"/>
  <c r="AT79" i="1"/>
  <c r="AO79" i="1"/>
  <c r="H37" i="22"/>
  <c r="AM79" i="1"/>
  <c r="AJ79" i="1"/>
  <c r="AH79" i="1"/>
  <c r="AE79" i="1"/>
  <c r="X79" i="1"/>
  <c r="X78" i="1"/>
  <c r="V2" i="41"/>
  <c r="V59" i="41"/>
  <c r="U19" i="41"/>
  <c r="U48" i="41"/>
  <c r="U66" i="41"/>
  <c r="U69" i="41"/>
  <c r="U15" i="41"/>
  <c r="U27" i="41"/>
  <c r="U23" i="41"/>
  <c r="U11" i="41"/>
  <c r="U52" i="41"/>
  <c r="U44" i="41"/>
  <c r="U31" i="41"/>
  <c r="U40" i="41"/>
  <c r="U60" i="41"/>
  <c r="U54" i="41"/>
  <c r="U38" i="41"/>
  <c r="U56" i="41"/>
  <c r="U68" i="41"/>
  <c r="U62" i="41"/>
  <c r="U42" i="41"/>
  <c r="U26" i="41"/>
  <c r="U22" i="41"/>
  <c r="U29" i="41"/>
  <c r="U21" i="41"/>
  <c r="U17" i="41"/>
  <c r="U67" i="41"/>
  <c r="U47" i="41"/>
  <c r="U12" i="41"/>
  <c r="U8" i="41"/>
  <c r="U49" i="41"/>
  <c r="U58" i="41"/>
  <c r="U50" i="41"/>
  <c r="U35" i="41"/>
  <c r="U30" i="41"/>
  <c r="U10" i="41"/>
  <c r="U64" i="41"/>
  <c r="U46" i="41"/>
  <c r="U7" i="41"/>
  <c r="U18" i="41"/>
  <c r="U14" i="41"/>
  <c r="U33" i="41"/>
  <c r="U25" i="41"/>
  <c r="U9" i="41"/>
  <c r="U34" i="41"/>
  <c r="U37" i="41"/>
  <c r="U63" i="41"/>
  <c r="U16" i="41"/>
  <c r="U55" i="41"/>
  <c r="U39" i="41"/>
  <c r="U28" i="41"/>
  <c r="U13" i="41"/>
  <c r="U43" i="41"/>
  <c r="U36" i="41"/>
  <c r="U24" i="41"/>
  <c r="U65" i="41"/>
  <c r="U20" i="41"/>
  <c r="U57" i="41"/>
  <c r="U45" i="41"/>
  <c r="U32" i="41"/>
  <c r="U53" i="41"/>
  <c r="U51" i="41"/>
  <c r="U41" i="41"/>
  <c r="U61" i="41"/>
  <c r="AC80" i="1"/>
  <c r="F37" i="22"/>
  <c r="BL80" i="1"/>
  <c r="K37" i="22"/>
  <c r="AH80" i="1"/>
  <c r="G37" i="22"/>
  <c r="DV79" i="1"/>
  <c r="P37" i="22"/>
  <c r="FE78" i="1"/>
  <c r="FC78" i="1"/>
  <c r="FA78" i="1"/>
  <c r="ET78" i="1"/>
  <c r="EN78" i="1"/>
  <c r="EL78" i="1"/>
  <c r="EH78" i="1"/>
  <c r="EB78" i="1"/>
  <c r="DV78" i="1"/>
  <c r="DR78" i="1"/>
  <c r="DP78" i="1"/>
  <c r="DJ78" i="1"/>
  <c r="DD78" i="1"/>
  <c r="CX78" i="1"/>
  <c r="CR78" i="1"/>
  <c r="CL78" i="1"/>
  <c r="CF78" i="1"/>
  <c r="BZ78" i="1"/>
  <c r="BT78" i="1"/>
  <c r="BN78" i="1"/>
  <c r="BL78" i="1"/>
  <c r="BF78" i="1"/>
  <c r="BG78" i="1"/>
  <c r="BA78" i="1"/>
  <c r="AV78" i="1"/>
  <c r="AY78" i="1"/>
  <c r="AT78" i="1"/>
  <c r="AR78" i="1"/>
  <c r="AO78" i="1"/>
  <c r="AM78" i="1"/>
  <c r="AJ78" i="1"/>
  <c r="AH78" i="1"/>
  <c r="AE78" i="1"/>
  <c r="W2" i="41"/>
  <c r="W59" i="41"/>
  <c r="V24" i="41"/>
  <c r="V64" i="41"/>
  <c r="V52" i="41"/>
  <c r="V44" i="41"/>
  <c r="V66" i="41"/>
  <c r="V31" i="41"/>
  <c r="V23" i="41"/>
  <c r="V19" i="41"/>
  <c r="V68" i="41"/>
  <c r="V40" i="41"/>
  <c r="V27" i="41"/>
  <c r="V58" i="41"/>
  <c r="V15" i="41"/>
  <c r="V60" i="41"/>
  <c r="V62" i="41"/>
  <c r="V54" i="41"/>
  <c r="V46" i="41"/>
  <c r="V42" i="41"/>
  <c r="V26" i="41"/>
  <c r="V11" i="41"/>
  <c r="V48" i="41"/>
  <c r="V38" i="41"/>
  <c r="V7" i="41"/>
  <c r="V34" i="41"/>
  <c r="V56" i="41"/>
  <c r="V18" i="41"/>
  <c r="V67" i="41"/>
  <c r="V36" i="41"/>
  <c r="V45" i="41"/>
  <c r="V41" i="41"/>
  <c r="V22" i="41"/>
  <c r="V29" i="41"/>
  <c r="V25" i="41"/>
  <c r="V30" i="41"/>
  <c r="V10" i="41"/>
  <c r="V37" i="41"/>
  <c r="V21" i="41"/>
  <c r="V17" i="41"/>
  <c r="V13" i="41"/>
  <c r="V9" i="41"/>
  <c r="V47" i="41"/>
  <c r="V50" i="41"/>
  <c r="V55" i="41"/>
  <c r="V43" i="41"/>
  <c r="V39" i="41"/>
  <c r="V20" i="41"/>
  <c r="V61" i="41"/>
  <c r="V57" i="41"/>
  <c r="V35" i="41"/>
  <c r="V33" i="41"/>
  <c r="V51" i="41"/>
  <c r="V69" i="41"/>
  <c r="V53" i="41"/>
  <c r="V14" i="41"/>
  <c r="V32" i="41"/>
  <c r="V28" i="41"/>
  <c r="V65" i="41"/>
  <c r="V49" i="41"/>
  <c r="V63" i="41"/>
  <c r="V12" i="41"/>
  <c r="V16" i="41"/>
  <c r="V8" i="41"/>
  <c r="BD78" i="1"/>
  <c r="BA79" i="1"/>
  <c r="FB78" i="1"/>
  <c r="BB78" i="1"/>
  <c r="FD78" i="1"/>
  <c r="FF78" i="1"/>
  <c r="BI78" i="1"/>
  <c r="AW78" i="1"/>
  <c r="FA80" i="1"/>
  <c r="FC80" i="1"/>
  <c r="FA81" i="1"/>
  <c r="FC81" i="1"/>
  <c r="FD82" i="1"/>
  <c r="FE82" i="1"/>
  <c r="FE83" i="1"/>
  <c r="FE84" i="1"/>
  <c r="FD85" i="1"/>
  <c r="FE85" i="1"/>
  <c r="FD86" i="1"/>
  <c r="FE86" i="1"/>
  <c r="FD87" i="1"/>
  <c r="FE87" i="1"/>
  <c r="FD88" i="1"/>
  <c r="FE88" i="1"/>
  <c r="FD89" i="1"/>
  <c r="FE89" i="1"/>
  <c r="FD90" i="1"/>
  <c r="FE90" i="1"/>
  <c r="FD91" i="1"/>
  <c r="FE91" i="1"/>
  <c r="FD92" i="1"/>
  <c r="FE92" i="1"/>
  <c r="FD93" i="1"/>
  <c r="FE93" i="1"/>
  <c r="FD94" i="1"/>
  <c r="FE94" i="1"/>
  <c r="FD95" i="1"/>
  <c r="FE95" i="1"/>
  <c r="FD96" i="1"/>
  <c r="FE96" i="1"/>
  <c r="ET80" i="1"/>
  <c r="EN80" i="1"/>
  <c r="EN81" i="1"/>
  <c r="EN82" i="1"/>
  <c r="EN83" i="1"/>
  <c r="Y41" i="22" s="1"/>
  <c r="FF81" i="1"/>
  <c r="X2" i="41"/>
  <c r="X59" i="41"/>
  <c r="W23" i="41"/>
  <c r="W15" i="41"/>
  <c r="W68" i="41"/>
  <c r="W60" i="41"/>
  <c r="W20" i="41"/>
  <c r="W31" i="41"/>
  <c r="W19" i="41"/>
  <c r="W64" i="41"/>
  <c r="W56" i="41"/>
  <c r="W40" i="41"/>
  <c r="W66" i="41"/>
  <c r="W62" i="41"/>
  <c r="W11" i="41"/>
  <c r="W44" i="41"/>
  <c r="W58" i="41"/>
  <c r="W50" i="41"/>
  <c r="W52" i="41"/>
  <c r="W54" i="41"/>
  <c r="W46" i="41"/>
  <c r="W42" i="41"/>
  <c r="W35" i="41"/>
  <c r="W26" i="41"/>
  <c r="W22" i="41"/>
  <c r="W34" i="41"/>
  <c r="W10" i="41"/>
  <c r="W37" i="41"/>
  <c r="W17" i="41"/>
  <c r="W13" i="41"/>
  <c r="W28" i="41"/>
  <c r="W49" i="41"/>
  <c r="W27" i="41"/>
  <c r="W18" i="41"/>
  <c r="W14" i="41"/>
  <c r="W33" i="41"/>
  <c r="W25" i="41"/>
  <c r="W48" i="41"/>
  <c r="W29" i="41"/>
  <c r="W51" i="41"/>
  <c r="W47" i="41"/>
  <c r="W30" i="41"/>
  <c r="W55" i="41"/>
  <c r="W36" i="41"/>
  <c r="W65" i="41"/>
  <c r="W38" i="41"/>
  <c r="W63" i="41"/>
  <c r="W43" i="41"/>
  <c r="W32" i="41"/>
  <c r="W24" i="41"/>
  <c r="W12" i="41"/>
  <c r="W61" i="41"/>
  <c r="W57" i="41"/>
  <c r="W7" i="41"/>
  <c r="W9" i="41"/>
  <c r="W16" i="41"/>
  <c r="W8" i="41"/>
  <c r="W45" i="41"/>
  <c r="W67" i="41"/>
  <c r="W39" i="41"/>
  <c r="W69" i="41"/>
  <c r="W41" i="41"/>
  <c r="W21" i="41"/>
  <c r="W53" i="41"/>
  <c r="BB79" i="1"/>
  <c r="FD79" i="1"/>
  <c r="BD79" i="1"/>
  <c r="FB79" i="1"/>
  <c r="Z38" i="22"/>
  <c r="Y2" i="41"/>
  <c r="Y59" i="41"/>
  <c r="X19" i="41"/>
  <c r="X15" i="41"/>
  <c r="X64" i="41"/>
  <c r="X40" i="41"/>
  <c r="X23" i="41"/>
  <c r="X31" i="41"/>
  <c r="X27" i="41"/>
  <c r="X11" i="41"/>
  <c r="X60" i="41"/>
  <c r="X52" i="41"/>
  <c r="X56" i="41"/>
  <c r="X48" i="41"/>
  <c r="X66" i="41"/>
  <c r="X35" i="41"/>
  <c r="X26" i="41"/>
  <c r="X68" i="41"/>
  <c r="X44" i="41"/>
  <c r="X62" i="41"/>
  <c r="X58" i="41"/>
  <c r="X50" i="41"/>
  <c r="X42" i="41"/>
  <c r="X7" i="41"/>
  <c r="X30" i="41"/>
  <c r="X14" i="41"/>
  <c r="X25" i="41"/>
  <c r="X21" i="41"/>
  <c r="X55" i="41"/>
  <c r="X47" i="41"/>
  <c r="X43" i="41"/>
  <c r="X39" i="41"/>
  <c r="X8" i="41"/>
  <c r="X65" i="41"/>
  <c r="X57" i="41"/>
  <c r="X45" i="41"/>
  <c r="X46" i="41"/>
  <c r="X18" i="41"/>
  <c r="X29" i="41"/>
  <c r="X38" i="41"/>
  <c r="X34" i="41"/>
  <c r="X33" i="41"/>
  <c r="X67" i="41"/>
  <c r="X54" i="41"/>
  <c r="X9" i="41"/>
  <c r="X28" i="41"/>
  <c r="X20" i="41"/>
  <c r="X16" i="41"/>
  <c r="X37" i="41"/>
  <c r="X49" i="41"/>
  <c r="X22" i="41"/>
  <c r="X17" i="41"/>
  <c r="X13" i="41"/>
  <c r="X63" i="41"/>
  <c r="X51" i="41"/>
  <c r="X32" i="41"/>
  <c r="X12" i="41"/>
  <c r="X69" i="41"/>
  <c r="X53" i="41"/>
  <c r="X41" i="41"/>
  <c r="X61" i="41"/>
  <c r="X10" i="41"/>
  <c r="X24" i="41"/>
  <c r="X36" i="41"/>
  <c r="I37" i="22"/>
  <c r="FF79" i="1"/>
  <c r="FE77" i="1"/>
  <c r="DI77" i="1"/>
  <c r="EA77" i="1"/>
  <c r="Z2" i="41"/>
  <c r="Z59" i="41"/>
  <c r="Y27" i="41"/>
  <c r="Y11" i="41"/>
  <c r="Y48" i="41"/>
  <c r="Y44" i="41"/>
  <c r="Y23" i="41"/>
  <c r="Y15" i="41"/>
  <c r="Y31" i="41"/>
  <c r="Y68" i="41"/>
  <c r="Y60" i="41"/>
  <c r="Y58" i="41"/>
  <c r="Y64" i="41"/>
  <c r="Y56" i="41"/>
  <c r="Y38" i="41"/>
  <c r="Y34" i="41"/>
  <c r="Y66" i="41"/>
  <c r="Y62" i="41"/>
  <c r="Y46" i="41"/>
  <c r="Y35" i="41"/>
  <c r="Y30" i="41"/>
  <c r="Y21" i="41"/>
  <c r="Y17" i="41"/>
  <c r="Y13" i="41"/>
  <c r="Y9" i="41"/>
  <c r="Y67" i="41"/>
  <c r="Y39" i="41"/>
  <c r="Y12" i="41"/>
  <c r="Y69" i="41"/>
  <c r="Y65" i="41"/>
  <c r="Y61" i="41"/>
  <c r="Y53" i="41"/>
  <c r="Y40" i="41"/>
  <c r="Y54" i="41"/>
  <c r="Y42" i="41"/>
  <c r="Y7" i="41"/>
  <c r="Y26" i="41"/>
  <c r="Y14" i="41"/>
  <c r="Y10" i="41"/>
  <c r="Y37" i="41"/>
  <c r="Y50" i="41"/>
  <c r="Y33" i="41"/>
  <c r="Y63" i="41"/>
  <c r="Y18" i="41"/>
  <c r="Y29" i="41"/>
  <c r="Y47" i="41"/>
  <c r="Y32" i="41"/>
  <c r="Y24" i="41"/>
  <c r="Y8" i="41"/>
  <c r="Y45" i="41"/>
  <c r="Y43" i="41"/>
  <c r="Y36" i="41"/>
  <c r="Y16" i="41"/>
  <c r="Y41" i="41"/>
  <c r="Y19" i="41"/>
  <c r="Y55" i="41"/>
  <c r="Y20" i="41"/>
  <c r="Y49" i="41"/>
  <c r="Y28" i="41"/>
  <c r="Y57" i="41"/>
  <c r="Y52" i="41"/>
  <c r="Y22" i="41"/>
  <c r="Y51" i="41"/>
  <c r="Y25" i="41"/>
  <c r="ET82" i="1"/>
  <c r="Z40" i="22"/>
  <c r="B19" i="39"/>
  <c r="Y38" i="22"/>
  <c r="Y39" i="22"/>
  <c r="Y40" i="22"/>
  <c r="Y55" i="22"/>
  <c r="Y56" i="22"/>
  <c r="Y57" i="22"/>
  <c r="Y58" i="22"/>
  <c r="Y59" i="22"/>
  <c r="Y60" i="22"/>
  <c r="Y61" i="22"/>
  <c r="Y62" i="22"/>
  <c r="Y63" i="22"/>
  <c r="Y64" i="22"/>
  <c r="Y65" i="22"/>
  <c r="Y66" i="22"/>
  <c r="Y67" i="22"/>
  <c r="Y68" i="22"/>
  <c r="Y69" i="22"/>
  <c r="Y70" i="22"/>
  <c r="Y71" i="22"/>
  <c r="Y36" i="22"/>
  <c r="B18" i="39"/>
  <c r="A36" i="38"/>
  <c r="AA2" i="41"/>
  <c r="AA59" i="41"/>
  <c r="Z19" i="41"/>
  <c r="Z64" i="41"/>
  <c r="Z56" i="41"/>
  <c r="Z40" i="41"/>
  <c r="Z66" i="41"/>
  <c r="Z27" i="41"/>
  <c r="Z11" i="41"/>
  <c r="Z23" i="41"/>
  <c r="Z15" i="41"/>
  <c r="Z68" i="41"/>
  <c r="Z60" i="41"/>
  <c r="Z44" i="41"/>
  <c r="Z62" i="41"/>
  <c r="Z52" i="41"/>
  <c r="Z54" i="41"/>
  <c r="Z38" i="41"/>
  <c r="Z31" i="41"/>
  <c r="Z48" i="41"/>
  <c r="Z26" i="41"/>
  <c r="Z58" i="41"/>
  <c r="Z46" i="41"/>
  <c r="Z7" i="41"/>
  <c r="Z10" i="41"/>
  <c r="Z33" i="41"/>
  <c r="Z29" i="41"/>
  <c r="Z25" i="41"/>
  <c r="Z51" i="41"/>
  <c r="Z43" i="41"/>
  <c r="Z24" i="41"/>
  <c r="Z20" i="41"/>
  <c r="Z16" i="41"/>
  <c r="Z69" i="41"/>
  <c r="Z53" i="41"/>
  <c r="Z35" i="41"/>
  <c r="Z34" i="41"/>
  <c r="Z22" i="41"/>
  <c r="Z14" i="41"/>
  <c r="Z37" i="41"/>
  <c r="Z42" i="41"/>
  <c r="Z18" i="41"/>
  <c r="Z55" i="41"/>
  <c r="Z47" i="41"/>
  <c r="Z21" i="41"/>
  <c r="Z67" i="41"/>
  <c r="Z57" i="41"/>
  <c r="Z49" i="41"/>
  <c r="Z13" i="41"/>
  <c r="Z9" i="41"/>
  <c r="Z63" i="41"/>
  <c r="Z28" i="41"/>
  <c r="Z8" i="41"/>
  <c r="Z45" i="41"/>
  <c r="Z39" i="41"/>
  <c r="Z36" i="41"/>
  <c r="Z41" i="41"/>
  <c r="Z50" i="41"/>
  <c r="Z32" i="41"/>
  <c r="Z12" i="41"/>
  <c r="Z30" i="41"/>
  <c r="Z61" i="41"/>
  <c r="Z17" i="41"/>
  <c r="Z65" i="41"/>
  <c r="AT76" i="1"/>
  <c r="AR77" i="1"/>
  <c r="CX76" i="1"/>
  <c r="AB2" i="41"/>
  <c r="AB59" i="41"/>
  <c r="AA31" i="41"/>
  <c r="AA52" i="41"/>
  <c r="AA19" i="41"/>
  <c r="AA68" i="41"/>
  <c r="AA27" i="41"/>
  <c r="AA11" i="41"/>
  <c r="AA56" i="41"/>
  <c r="AA48" i="41"/>
  <c r="AA44" i="41"/>
  <c r="AA40" i="41"/>
  <c r="AA15" i="41"/>
  <c r="AA66" i="41"/>
  <c r="AA58" i="41"/>
  <c r="AA62" i="41"/>
  <c r="AA46" i="41"/>
  <c r="AA34" i="41"/>
  <c r="AA64" i="41"/>
  <c r="AA54" i="41"/>
  <c r="AA38" i="41"/>
  <c r="AA22" i="41"/>
  <c r="AA50" i="41"/>
  <c r="AA30" i="41"/>
  <c r="AA33" i="41"/>
  <c r="AA63" i="41"/>
  <c r="AA36" i="41"/>
  <c r="AA32" i="41"/>
  <c r="AA45" i="41"/>
  <c r="AA41" i="41"/>
  <c r="AA60" i="41"/>
  <c r="AA7" i="41"/>
  <c r="AA10" i="41"/>
  <c r="AA29" i="41"/>
  <c r="AA25" i="41"/>
  <c r="AA23" i="41"/>
  <c r="AA35" i="41"/>
  <c r="AA26" i="41"/>
  <c r="AA14" i="41"/>
  <c r="AA21" i="41"/>
  <c r="AA17" i="41"/>
  <c r="AA13" i="41"/>
  <c r="AA9" i="41"/>
  <c r="AA67" i="41"/>
  <c r="AA39" i="41"/>
  <c r="AA37" i="41"/>
  <c r="AA51" i="41"/>
  <c r="AA12" i="41"/>
  <c r="AA65" i="41"/>
  <c r="AA42" i="41"/>
  <c r="AA47" i="41"/>
  <c r="AA20" i="41"/>
  <c r="AA61" i="41"/>
  <c r="AA57" i="41"/>
  <c r="AA49" i="41"/>
  <c r="AA43" i="41"/>
  <c r="AA28" i="41"/>
  <c r="AA69" i="41"/>
  <c r="AA53" i="41"/>
  <c r="AA8" i="41"/>
  <c r="AA18" i="41"/>
  <c r="AA55" i="41"/>
  <c r="AA24" i="41"/>
  <c r="AA16" i="41"/>
  <c r="ET83" i="1"/>
  <c r="Z41" i="22"/>
  <c r="AC54" i="22"/>
  <c r="AC55" i="22"/>
  <c r="AC56" i="22"/>
  <c r="AC57" i="22"/>
  <c r="AC58" i="22"/>
  <c r="AC59" i="22"/>
  <c r="AC60" i="22"/>
  <c r="AC61" i="22"/>
  <c r="AC62" i="22"/>
  <c r="AC63" i="22"/>
  <c r="AC64" i="22"/>
  <c r="AC65" i="22"/>
  <c r="AC66" i="22"/>
  <c r="AC67" i="22"/>
  <c r="AC68" i="22"/>
  <c r="AC69" i="22"/>
  <c r="AC70" i="22"/>
  <c r="AC71" i="22"/>
  <c r="B4" i="39"/>
  <c r="C24" i="39" s="1"/>
  <c r="AE8" i="22"/>
  <c r="AF8" i="22"/>
  <c r="AE9" i="22"/>
  <c r="AF9" i="22"/>
  <c r="AE10" i="22"/>
  <c r="AF10" i="22"/>
  <c r="AE11" i="22"/>
  <c r="AF11" i="22"/>
  <c r="AE12" i="22"/>
  <c r="AF12" i="22"/>
  <c r="AE13" i="22"/>
  <c r="AF13" i="22"/>
  <c r="AE14" i="22"/>
  <c r="AF14" i="22"/>
  <c r="AE15" i="22"/>
  <c r="AF15" i="22"/>
  <c r="AE16" i="22"/>
  <c r="AF16" i="22"/>
  <c r="AE17" i="22"/>
  <c r="AF17" i="22"/>
  <c r="AE18" i="22"/>
  <c r="AF18" i="22"/>
  <c r="AE19" i="22"/>
  <c r="AF19" i="22"/>
  <c r="AE20" i="22"/>
  <c r="AF20" i="22"/>
  <c r="AE21" i="22"/>
  <c r="AF21" i="22"/>
  <c r="AE22" i="22"/>
  <c r="AF22" i="22"/>
  <c r="AE23" i="22"/>
  <c r="AF23" i="22"/>
  <c r="AE24" i="22"/>
  <c r="AF24" i="22"/>
  <c r="AE25" i="22"/>
  <c r="AF25" i="22"/>
  <c r="AE26" i="22"/>
  <c r="AF26" i="22"/>
  <c r="AE27" i="22"/>
  <c r="AF27" i="22"/>
  <c r="AE28" i="22"/>
  <c r="AF28" i="22"/>
  <c r="AE29" i="22"/>
  <c r="AF29" i="22"/>
  <c r="AE30" i="22"/>
  <c r="AF30" i="22"/>
  <c r="AE31" i="22"/>
  <c r="AF31" i="22"/>
  <c r="AE32" i="22"/>
  <c r="AF32" i="22"/>
  <c r="AE33" i="22"/>
  <c r="AF33" i="22"/>
  <c r="AE34" i="22"/>
  <c r="AF34" i="22"/>
  <c r="AE35" i="22"/>
  <c r="AF35" i="22"/>
  <c r="AE36" i="22"/>
  <c r="AF36" i="22"/>
  <c r="AE37" i="22"/>
  <c r="AF37" i="22"/>
  <c r="AE38" i="22"/>
  <c r="AF38" i="22"/>
  <c r="AE39" i="22"/>
  <c r="AF39" i="22"/>
  <c r="AE40" i="22"/>
  <c r="AF40" i="22"/>
  <c r="AE41" i="22"/>
  <c r="AF41" i="22"/>
  <c r="AE42" i="22"/>
  <c r="AF42" i="22"/>
  <c r="AE43" i="22"/>
  <c r="AF43" i="22"/>
  <c r="AE44" i="22"/>
  <c r="AF44" i="22"/>
  <c r="AE45" i="22"/>
  <c r="AF45" i="22"/>
  <c r="AE46" i="22"/>
  <c r="AF46" i="22"/>
  <c r="AE47" i="22"/>
  <c r="AF47" i="22"/>
  <c r="AE48" i="22"/>
  <c r="AF48" i="22"/>
  <c r="AE49" i="22"/>
  <c r="AF49" i="22"/>
  <c r="AE50" i="22"/>
  <c r="AF50" i="22"/>
  <c r="AE51" i="22"/>
  <c r="AF51" i="22"/>
  <c r="AE52" i="22"/>
  <c r="AF52" i="22"/>
  <c r="AE53" i="22"/>
  <c r="AF53" i="22"/>
  <c r="AF7" i="22"/>
  <c r="AE7" i="22"/>
  <c r="B7" i="38"/>
  <c r="D5" i="38"/>
  <c r="AB31" i="41"/>
  <c r="AB27" i="41"/>
  <c r="AB23" i="41"/>
  <c r="AB11" i="41"/>
  <c r="AB52" i="41"/>
  <c r="AB44" i="41"/>
  <c r="AB62" i="41"/>
  <c r="AB19" i="41"/>
  <c r="AB68" i="41"/>
  <c r="AB15" i="41"/>
  <c r="AB48" i="41"/>
  <c r="AB66" i="41"/>
  <c r="AB64" i="41"/>
  <c r="AB56" i="41"/>
  <c r="AB58" i="41"/>
  <c r="AB50" i="41"/>
  <c r="AB42" i="41"/>
  <c r="AB7" i="41"/>
  <c r="AB30" i="41"/>
  <c r="AB60" i="41"/>
  <c r="AB40" i="41"/>
  <c r="AB46" i="41"/>
  <c r="AB35" i="41"/>
  <c r="AB34" i="41"/>
  <c r="AB18" i="41"/>
  <c r="AB37" i="41"/>
  <c r="AB39" i="41"/>
  <c r="AB36" i="41"/>
  <c r="AB32" i="41"/>
  <c r="AB49" i="41"/>
  <c r="AB38" i="41"/>
  <c r="AB33" i="41"/>
  <c r="AB54" i="41"/>
  <c r="AB22" i="41"/>
  <c r="AB10" i="41"/>
  <c r="AB29" i="41"/>
  <c r="AB25" i="41"/>
  <c r="AB63" i="41"/>
  <c r="AB51" i="41"/>
  <c r="AB43" i="41"/>
  <c r="AB13" i="41"/>
  <c r="AB28" i="41"/>
  <c r="AB69" i="41"/>
  <c r="AB53" i="41"/>
  <c r="AB41" i="41"/>
  <c r="AB14" i="41"/>
  <c r="AB17" i="41"/>
  <c r="AB67" i="41"/>
  <c r="AB12" i="41"/>
  <c r="AB65" i="41"/>
  <c r="AB26" i="41"/>
  <c r="AB21" i="41"/>
  <c r="AB55" i="41"/>
  <c r="AB47" i="41"/>
  <c r="AB24" i="41"/>
  <c r="AB61" i="41"/>
  <c r="AB57" i="41"/>
  <c r="AB20" i="41"/>
  <c r="AB16" i="41"/>
  <c r="AB9" i="41"/>
  <c r="AB8" i="41"/>
  <c r="AB45" i="41"/>
  <c r="ET84" i="1"/>
  <c r="Z42" i="22" s="1"/>
  <c r="BP77" i="1"/>
  <c r="ED77" i="1"/>
  <c r="EH77" i="1"/>
  <c r="DX77" i="1"/>
  <c r="EB77" i="1"/>
  <c r="DR77" i="1"/>
  <c r="DV77" i="1"/>
  <c r="DF77" i="1"/>
  <c r="DJ77" i="1"/>
  <c r="CZ77" i="1"/>
  <c r="DD77" i="1"/>
  <c r="CH77" i="1"/>
  <c r="CL77" i="1"/>
  <c r="CB77" i="1"/>
  <c r="CF77" i="1"/>
  <c r="BT77" i="1"/>
  <c r="BT76" i="1"/>
  <c r="FC77" i="1"/>
  <c r="DP77" i="1"/>
  <c r="DP98" i="1"/>
  <c r="DP99" i="1"/>
  <c r="DP100" i="1"/>
  <c r="DP101" i="1"/>
  <c r="DP102" i="1"/>
  <c r="DP103" i="1"/>
  <c r="DP104" i="1"/>
  <c r="DP105" i="1"/>
  <c r="DP106" i="1"/>
  <c r="DP107" i="1"/>
  <c r="DP108" i="1"/>
  <c r="DP109" i="1"/>
  <c r="DP110" i="1"/>
  <c r="DP111" i="1"/>
  <c r="DP112" i="1"/>
  <c r="DP113" i="1"/>
  <c r="DP114" i="1"/>
  <c r="DP115" i="1"/>
  <c r="DP116" i="1"/>
  <c r="DP117" i="1"/>
  <c r="DP118" i="1"/>
  <c r="DP119" i="1"/>
  <c r="DP120" i="1"/>
  <c r="DP121" i="1"/>
  <c r="DP122" i="1"/>
  <c r="DP123" i="1"/>
  <c r="DP124" i="1"/>
  <c r="DP125" i="1"/>
  <c r="DP126" i="1"/>
  <c r="DP127" i="1"/>
  <c r="DP128" i="1"/>
  <c r="DP129" i="1"/>
  <c r="DP130" i="1"/>
  <c r="DP131" i="1"/>
  <c r="DP132" i="1"/>
  <c r="DP133" i="1"/>
  <c r="DP134" i="1"/>
  <c r="DP135" i="1"/>
  <c r="DP136" i="1"/>
  <c r="DP137" i="1"/>
  <c r="DP138" i="1"/>
  <c r="DP139" i="1"/>
  <c r="DP140" i="1"/>
  <c r="FH142" i="1"/>
  <c r="FH141" i="1"/>
  <c r="CN77" i="1"/>
  <c r="CR77" i="1"/>
  <c r="BV77" i="1"/>
  <c r="BZ77" i="1"/>
  <c r="CT77" i="1"/>
  <c r="CX77" i="1"/>
  <c r="FB77" i="1"/>
  <c r="EH76" i="1"/>
  <c r="EB76" i="1"/>
  <c r="DV76" i="1"/>
  <c r="DP76" i="1"/>
  <c r="DJ76" i="1"/>
  <c r="DD76" i="1"/>
  <c r="CR76" i="1"/>
  <c r="CL76" i="1"/>
  <c r="BZ76" i="1"/>
  <c r="CF76" i="1"/>
  <c r="FC76" i="1"/>
  <c r="FB76" i="1"/>
  <c r="FB9" i="1"/>
  <c r="FB10" i="1"/>
  <c r="FC8" i="1"/>
  <c r="B4" i="40"/>
  <c r="B29" i="40"/>
  <c r="M5" i="40"/>
  <c r="M30" i="40"/>
  <c r="M6" i="40"/>
  <c r="M31" i="40"/>
  <c r="M7" i="40"/>
  <c r="M32" i="40"/>
  <c r="M8" i="40"/>
  <c r="M33" i="40"/>
  <c r="M9" i="40"/>
  <c r="M34" i="40"/>
  <c r="M10" i="40"/>
  <c r="M35" i="40"/>
  <c r="M11" i="40"/>
  <c r="M36" i="40"/>
  <c r="M12" i="40"/>
  <c r="M37" i="40" s="1"/>
  <c r="M13" i="40"/>
  <c r="M38" i="40"/>
  <c r="M14" i="40"/>
  <c r="M39" i="40"/>
  <c r="M15" i="40"/>
  <c r="M40" i="40"/>
  <c r="M16" i="40"/>
  <c r="M41" i="40"/>
  <c r="M17" i="40"/>
  <c r="M42" i="40"/>
  <c r="M18" i="40"/>
  <c r="M43" i="40"/>
  <c r="M19" i="40"/>
  <c r="M44" i="40"/>
  <c r="M20" i="40"/>
  <c r="M45" i="40"/>
  <c r="M21" i="40"/>
  <c r="M46" i="40"/>
  <c r="M22" i="40"/>
  <c r="M47" i="40"/>
  <c r="M23" i="40"/>
  <c r="M48" i="40"/>
  <c r="M24" i="40"/>
  <c r="M49" i="40"/>
  <c r="L5" i="40"/>
  <c r="L30" i="40"/>
  <c r="L6" i="40"/>
  <c r="L31" i="40"/>
  <c r="L7" i="40"/>
  <c r="L32" i="40"/>
  <c r="L8" i="40"/>
  <c r="L33" i="40"/>
  <c r="L9" i="40"/>
  <c r="L34" i="40"/>
  <c r="L10" i="40"/>
  <c r="L35" i="40"/>
  <c r="L11" i="40"/>
  <c r="L36" i="40" s="1"/>
  <c r="L12" i="40"/>
  <c r="L37" i="40" s="1"/>
  <c r="L13" i="40"/>
  <c r="L38" i="40"/>
  <c r="L14" i="40"/>
  <c r="L39" i="40"/>
  <c r="L15" i="40"/>
  <c r="L40" i="40"/>
  <c r="L16" i="40"/>
  <c r="L41" i="40"/>
  <c r="L17" i="40"/>
  <c r="L42" i="40"/>
  <c r="L18" i="40"/>
  <c r="L43" i="40"/>
  <c r="L19" i="40"/>
  <c r="L44" i="40"/>
  <c r="L20" i="40"/>
  <c r="L45" i="40"/>
  <c r="L21" i="40"/>
  <c r="L46" i="40"/>
  <c r="L22" i="40"/>
  <c r="L47" i="40"/>
  <c r="L23" i="40"/>
  <c r="L48" i="40"/>
  <c r="L24" i="40"/>
  <c r="L49" i="40"/>
  <c r="K5" i="40"/>
  <c r="K30" i="40"/>
  <c r="K6" i="40"/>
  <c r="K31" i="40"/>
  <c r="K7" i="40"/>
  <c r="K32" i="40"/>
  <c r="K8" i="40"/>
  <c r="K33" i="40"/>
  <c r="K9" i="40"/>
  <c r="K34" i="40"/>
  <c r="K10" i="40"/>
  <c r="K35" i="40"/>
  <c r="K11" i="40"/>
  <c r="K36" i="40"/>
  <c r="K12" i="40"/>
  <c r="K37" i="40" s="1"/>
  <c r="K13" i="40"/>
  <c r="K38" i="40"/>
  <c r="K14" i="40"/>
  <c r="K39" i="40"/>
  <c r="K15" i="40"/>
  <c r="K40" i="40"/>
  <c r="K16" i="40"/>
  <c r="K41" i="40"/>
  <c r="K17" i="40"/>
  <c r="K42" i="40"/>
  <c r="K18" i="40"/>
  <c r="K43" i="40"/>
  <c r="K19" i="40"/>
  <c r="K44" i="40"/>
  <c r="K20" i="40"/>
  <c r="K45" i="40"/>
  <c r="K21" i="40"/>
  <c r="K46" i="40"/>
  <c r="K22" i="40"/>
  <c r="K47" i="40"/>
  <c r="K23" i="40"/>
  <c r="K48" i="40"/>
  <c r="K24" i="40"/>
  <c r="K49" i="40"/>
  <c r="J5" i="40"/>
  <c r="J30" i="40"/>
  <c r="J6" i="40"/>
  <c r="J31" i="40"/>
  <c r="J7" i="40"/>
  <c r="J32" i="40"/>
  <c r="J8" i="40"/>
  <c r="J33" i="40"/>
  <c r="J9" i="40"/>
  <c r="J34" i="40"/>
  <c r="J10" i="40"/>
  <c r="J35" i="40"/>
  <c r="J11" i="40"/>
  <c r="J36" i="40"/>
  <c r="J12" i="40"/>
  <c r="J37" i="40"/>
  <c r="J13" i="40"/>
  <c r="J38" i="40"/>
  <c r="J14" i="40"/>
  <c r="J39" i="40"/>
  <c r="J15" i="40"/>
  <c r="J40" i="40"/>
  <c r="J16" i="40"/>
  <c r="J41" i="40"/>
  <c r="J17" i="40"/>
  <c r="J42" i="40"/>
  <c r="J18" i="40"/>
  <c r="J43" i="40"/>
  <c r="J19" i="40"/>
  <c r="J44" i="40"/>
  <c r="J20" i="40"/>
  <c r="J45" i="40"/>
  <c r="J21" i="40"/>
  <c r="J46" i="40"/>
  <c r="J22" i="40"/>
  <c r="J47" i="40"/>
  <c r="J23" i="40"/>
  <c r="J48" i="40"/>
  <c r="J24" i="40"/>
  <c r="J49" i="40"/>
  <c r="I5" i="40"/>
  <c r="I30" i="40"/>
  <c r="I6" i="40"/>
  <c r="I31" i="40"/>
  <c r="I7" i="40"/>
  <c r="I32" i="40"/>
  <c r="I8" i="40"/>
  <c r="I33" i="40"/>
  <c r="I9" i="40"/>
  <c r="I34" i="40"/>
  <c r="I10" i="40"/>
  <c r="I35" i="40"/>
  <c r="I11" i="40"/>
  <c r="I36" i="40" s="1"/>
  <c r="I12" i="40"/>
  <c r="I37" i="40" s="1"/>
  <c r="I13" i="40"/>
  <c r="I38" i="40"/>
  <c r="I14" i="40"/>
  <c r="I39" i="40"/>
  <c r="I15" i="40"/>
  <c r="I40" i="40"/>
  <c r="I16" i="40"/>
  <c r="I41" i="40"/>
  <c r="I17" i="40"/>
  <c r="I42" i="40"/>
  <c r="I18" i="40"/>
  <c r="I43" i="40"/>
  <c r="I19" i="40"/>
  <c r="I44" i="40"/>
  <c r="I20" i="40"/>
  <c r="I45" i="40"/>
  <c r="I21" i="40"/>
  <c r="I46" i="40"/>
  <c r="I22" i="40"/>
  <c r="I47" i="40"/>
  <c r="I23" i="40"/>
  <c r="I48" i="40"/>
  <c r="I24" i="40"/>
  <c r="I49" i="40"/>
  <c r="H5" i="40"/>
  <c r="H30" i="40"/>
  <c r="H6" i="40"/>
  <c r="H31" i="40"/>
  <c r="H7" i="40"/>
  <c r="H32" i="40"/>
  <c r="H8" i="40"/>
  <c r="H33" i="40"/>
  <c r="H9" i="40"/>
  <c r="H34" i="40"/>
  <c r="H10" i="40"/>
  <c r="H35" i="40"/>
  <c r="H11" i="40"/>
  <c r="H36" i="40"/>
  <c r="H12" i="40"/>
  <c r="H37" i="40" s="1"/>
  <c r="H13" i="40"/>
  <c r="H38" i="40"/>
  <c r="H14" i="40"/>
  <c r="H39" i="40"/>
  <c r="H15" i="40"/>
  <c r="H40" i="40"/>
  <c r="H16" i="40"/>
  <c r="H41" i="40"/>
  <c r="H17" i="40"/>
  <c r="H42" i="40"/>
  <c r="H18" i="40"/>
  <c r="H43" i="40"/>
  <c r="H19" i="40"/>
  <c r="H44" i="40"/>
  <c r="H20" i="40"/>
  <c r="H45" i="40"/>
  <c r="H21" i="40"/>
  <c r="H46" i="40"/>
  <c r="H22" i="40"/>
  <c r="H47" i="40"/>
  <c r="H23" i="40"/>
  <c r="H48" i="40"/>
  <c r="H24" i="40"/>
  <c r="H49" i="40"/>
  <c r="G5" i="40"/>
  <c r="G30" i="40"/>
  <c r="G6" i="40"/>
  <c r="G31" i="40"/>
  <c r="G7" i="40"/>
  <c r="G32" i="40"/>
  <c r="G8" i="40"/>
  <c r="G33" i="40"/>
  <c r="G9" i="40"/>
  <c r="G34" i="40"/>
  <c r="G10" i="40"/>
  <c r="G35" i="40"/>
  <c r="G11" i="40"/>
  <c r="G36" i="40" s="1"/>
  <c r="G12" i="40"/>
  <c r="G37" i="40" s="1"/>
  <c r="G13" i="40"/>
  <c r="G38" i="40"/>
  <c r="G14" i="40"/>
  <c r="G39" i="40"/>
  <c r="G15" i="40"/>
  <c r="G40" i="40"/>
  <c r="G16" i="40"/>
  <c r="G41" i="40"/>
  <c r="G17" i="40"/>
  <c r="G42" i="40"/>
  <c r="G18" i="40"/>
  <c r="G43" i="40"/>
  <c r="G19" i="40"/>
  <c r="G44" i="40"/>
  <c r="G20" i="40"/>
  <c r="G45" i="40"/>
  <c r="G21" i="40"/>
  <c r="G46" i="40"/>
  <c r="G22" i="40"/>
  <c r="G47" i="40"/>
  <c r="G23" i="40"/>
  <c r="G48" i="40"/>
  <c r="G24" i="40"/>
  <c r="G49" i="40"/>
  <c r="F5" i="40"/>
  <c r="F30" i="40"/>
  <c r="F6" i="40"/>
  <c r="F31" i="40"/>
  <c r="F7" i="40"/>
  <c r="F32" i="40"/>
  <c r="F8" i="40"/>
  <c r="F33" i="40"/>
  <c r="F9" i="40"/>
  <c r="F34" i="40"/>
  <c r="F10" i="40"/>
  <c r="F35" i="40"/>
  <c r="F11" i="40"/>
  <c r="F36" i="40"/>
  <c r="F12" i="40"/>
  <c r="F37" i="40"/>
  <c r="F13" i="40"/>
  <c r="F38" i="40"/>
  <c r="F14" i="40"/>
  <c r="F39" i="40"/>
  <c r="F15" i="40"/>
  <c r="F40" i="40"/>
  <c r="F16" i="40"/>
  <c r="F41" i="40"/>
  <c r="F17" i="40"/>
  <c r="F42" i="40"/>
  <c r="F18" i="40"/>
  <c r="F43" i="40"/>
  <c r="F19" i="40"/>
  <c r="F44" i="40"/>
  <c r="F20" i="40"/>
  <c r="F45" i="40"/>
  <c r="F21" i="40"/>
  <c r="F46" i="40"/>
  <c r="F22" i="40"/>
  <c r="F47" i="40"/>
  <c r="F23" i="40"/>
  <c r="F48" i="40"/>
  <c r="F24" i="40"/>
  <c r="F49" i="40"/>
  <c r="E5" i="40"/>
  <c r="E30" i="40"/>
  <c r="E6" i="40"/>
  <c r="E31" i="40"/>
  <c r="E7" i="40"/>
  <c r="E32" i="40"/>
  <c r="E8" i="40"/>
  <c r="E33" i="40"/>
  <c r="E9" i="40"/>
  <c r="E34" i="40"/>
  <c r="E10" i="40"/>
  <c r="E35" i="40"/>
  <c r="E11" i="40"/>
  <c r="E36" i="40" s="1"/>
  <c r="E12" i="40"/>
  <c r="E37" i="40" s="1"/>
  <c r="E13" i="40"/>
  <c r="E38" i="40"/>
  <c r="E14" i="40"/>
  <c r="E39" i="40"/>
  <c r="E15" i="40"/>
  <c r="E40" i="40"/>
  <c r="E16" i="40"/>
  <c r="E41" i="40"/>
  <c r="E17" i="40"/>
  <c r="E42" i="40"/>
  <c r="E18" i="40"/>
  <c r="E43" i="40"/>
  <c r="E19" i="40"/>
  <c r="E44" i="40"/>
  <c r="E20" i="40"/>
  <c r="E45" i="40"/>
  <c r="E21" i="40"/>
  <c r="E46" i="40"/>
  <c r="E22" i="40"/>
  <c r="E47" i="40"/>
  <c r="E23" i="40"/>
  <c r="E48" i="40"/>
  <c r="E24" i="40"/>
  <c r="E49" i="40"/>
  <c r="D5" i="40"/>
  <c r="D30" i="40"/>
  <c r="D6" i="40"/>
  <c r="D31" i="40"/>
  <c r="D7" i="40"/>
  <c r="D32" i="40"/>
  <c r="D8" i="40"/>
  <c r="D33" i="40"/>
  <c r="D9" i="40"/>
  <c r="D34" i="40"/>
  <c r="D10" i="40"/>
  <c r="D35" i="40"/>
  <c r="D11" i="40"/>
  <c r="D36" i="40" s="1"/>
  <c r="D12" i="40"/>
  <c r="D37" i="40" s="1"/>
  <c r="D13" i="40"/>
  <c r="D38" i="40"/>
  <c r="D14" i="40"/>
  <c r="D39" i="40"/>
  <c r="D15" i="40"/>
  <c r="D40" i="40"/>
  <c r="D16" i="40"/>
  <c r="D41" i="40"/>
  <c r="D17" i="40"/>
  <c r="D42" i="40"/>
  <c r="D18" i="40"/>
  <c r="D43" i="40"/>
  <c r="D19" i="40"/>
  <c r="D44" i="40"/>
  <c r="D20" i="40"/>
  <c r="D45" i="40"/>
  <c r="D21" i="40"/>
  <c r="D46" i="40"/>
  <c r="D22" i="40"/>
  <c r="D47" i="40"/>
  <c r="D23" i="40"/>
  <c r="D48" i="40"/>
  <c r="D24" i="40"/>
  <c r="D49" i="40"/>
  <c r="M4" i="40"/>
  <c r="M29" i="40"/>
  <c r="L4" i="40"/>
  <c r="L29" i="40"/>
  <c r="K4" i="40"/>
  <c r="K29" i="40"/>
  <c r="C5" i="40"/>
  <c r="C30" i="40"/>
  <c r="C6" i="40"/>
  <c r="C31" i="40"/>
  <c r="C7" i="40"/>
  <c r="C32" i="40"/>
  <c r="C8" i="40"/>
  <c r="C33" i="40"/>
  <c r="C9" i="40"/>
  <c r="C34" i="40"/>
  <c r="C10" i="40"/>
  <c r="C35" i="40"/>
  <c r="C11" i="40"/>
  <c r="C36" i="40" s="1"/>
  <c r="C12" i="40"/>
  <c r="C37" i="40" s="1"/>
  <c r="C13" i="40"/>
  <c r="C38" i="40"/>
  <c r="C14" i="40"/>
  <c r="C39" i="40"/>
  <c r="C15" i="40"/>
  <c r="C40" i="40"/>
  <c r="C16" i="40"/>
  <c r="C41" i="40"/>
  <c r="C17" i="40"/>
  <c r="C42" i="40"/>
  <c r="C18" i="40"/>
  <c r="C43" i="40"/>
  <c r="C19" i="40"/>
  <c r="C44" i="40"/>
  <c r="C20" i="40"/>
  <c r="C45" i="40"/>
  <c r="C21" i="40"/>
  <c r="C46" i="40"/>
  <c r="C22" i="40"/>
  <c r="C47" i="40"/>
  <c r="C23" i="40"/>
  <c r="C48" i="40"/>
  <c r="C24" i="40"/>
  <c r="C49" i="40"/>
  <c r="B5" i="40"/>
  <c r="B30" i="40"/>
  <c r="B6" i="40"/>
  <c r="B31" i="40"/>
  <c r="B7" i="40"/>
  <c r="B32" i="40"/>
  <c r="B8" i="40"/>
  <c r="B33" i="40"/>
  <c r="B9" i="40"/>
  <c r="B34" i="40"/>
  <c r="B10" i="40"/>
  <c r="B35" i="40"/>
  <c r="B11" i="40"/>
  <c r="B36" i="40" s="1"/>
  <c r="B12" i="40"/>
  <c r="B37" i="40" s="1"/>
  <c r="B13" i="40"/>
  <c r="B38" i="40"/>
  <c r="B14" i="40"/>
  <c r="B39" i="40"/>
  <c r="B15" i="40"/>
  <c r="B40" i="40"/>
  <c r="B16" i="40"/>
  <c r="B41" i="40"/>
  <c r="B17" i="40"/>
  <c r="B42" i="40"/>
  <c r="B18" i="40"/>
  <c r="B43" i="40"/>
  <c r="B19" i="40"/>
  <c r="B44" i="40"/>
  <c r="B20" i="40"/>
  <c r="B45" i="40"/>
  <c r="B21" i="40"/>
  <c r="B46" i="40"/>
  <c r="B22" i="40"/>
  <c r="B47" i="40"/>
  <c r="B23" i="40"/>
  <c r="B48" i="40"/>
  <c r="B24" i="40"/>
  <c r="B49" i="40"/>
  <c r="J4" i="40"/>
  <c r="J29" i="40"/>
  <c r="I4" i="40"/>
  <c r="I29" i="40"/>
  <c r="H4" i="40"/>
  <c r="H29" i="40"/>
  <c r="G4" i="40"/>
  <c r="G29" i="40"/>
  <c r="F4" i="40"/>
  <c r="F29" i="40"/>
  <c r="E4" i="40"/>
  <c r="E29" i="40"/>
  <c r="D4" i="40"/>
  <c r="D29" i="40"/>
  <c r="C4" i="40"/>
  <c r="C29" i="40"/>
  <c r="B17" i="39"/>
  <c r="B16" i="39"/>
  <c r="B15" i="39"/>
  <c r="B14" i="39"/>
  <c r="B13" i="39"/>
  <c r="B12" i="39"/>
  <c r="B11" i="39"/>
  <c r="B10" i="39"/>
  <c r="B9" i="39"/>
  <c r="B8" i="39"/>
  <c r="B7" i="39"/>
  <c r="E5" i="39"/>
  <c r="K38" i="38"/>
  <c r="B8" i="38"/>
  <c r="B9" i="38"/>
  <c r="B10" i="38"/>
  <c r="B11" i="38"/>
  <c r="B12" i="38"/>
  <c r="B13" i="38"/>
  <c r="B14" i="38"/>
  <c r="B15" i="38"/>
  <c r="B16" i="38"/>
  <c r="B17" i="38"/>
  <c r="B18" i="38"/>
  <c r="B19" i="38"/>
  <c r="B20" i="38"/>
  <c r="B21" i="38"/>
  <c r="B22" i="38"/>
  <c r="B23" i="38"/>
  <c r="B24" i="38"/>
  <c r="B25" i="38"/>
  <c r="B26" i="38"/>
  <c r="B27" i="38"/>
  <c r="B28" i="38"/>
  <c r="B29" i="38"/>
  <c r="A34" i="38"/>
  <c r="A35" i="38"/>
  <c r="A8" i="38"/>
  <c r="A9" i="38"/>
  <c r="A10" i="38"/>
  <c r="A11" i="38"/>
  <c r="A12" i="38"/>
  <c r="A13" i="38"/>
  <c r="A14" i="38"/>
  <c r="A15" i="38"/>
  <c r="A16" i="38"/>
  <c r="A17" i="38"/>
  <c r="A18" i="38"/>
  <c r="A19" i="38"/>
  <c r="A20" i="38"/>
  <c r="A21" i="38"/>
  <c r="A22" i="38"/>
  <c r="A23" i="38"/>
  <c r="A24" i="38"/>
  <c r="A25" i="38"/>
  <c r="A26" i="38"/>
  <c r="A27" i="38"/>
  <c r="A28" i="38"/>
  <c r="A29" i="38"/>
  <c r="A30" i="38"/>
  <c r="A31" i="38"/>
  <c r="A32" i="38"/>
  <c r="A33" i="38"/>
  <c r="A7" i="38"/>
  <c r="O39" i="37"/>
  <c r="V4" i="37"/>
  <c r="V6" i="37" s="1"/>
  <c r="T4" i="37"/>
  <c r="T6" i="37" s="1"/>
  <c r="S6" i="37" s="1"/>
  <c r="S5" i="37"/>
  <c r="C37" i="22"/>
  <c r="B37" i="38"/>
  <c r="C38" i="22"/>
  <c r="D38" i="22"/>
  <c r="E38" i="22"/>
  <c r="F38" i="22"/>
  <c r="G38" i="22"/>
  <c r="B38" i="38" s="1"/>
  <c r="H38" i="22"/>
  <c r="I38" i="22"/>
  <c r="J38" i="22"/>
  <c r="K38" i="22"/>
  <c r="C39" i="22"/>
  <c r="D39" i="22"/>
  <c r="L39" i="22" s="1"/>
  <c r="E39" i="22"/>
  <c r="F39" i="22"/>
  <c r="G39" i="22"/>
  <c r="B39" i="38"/>
  <c r="H39" i="22"/>
  <c r="I39" i="22"/>
  <c r="J39" i="22"/>
  <c r="K39" i="22"/>
  <c r="C40" i="22"/>
  <c r="D40" i="22"/>
  <c r="E40" i="22"/>
  <c r="F40" i="22"/>
  <c r="G40" i="22"/>
  <c r="H40" i="22"/>
  <c r="I40" i="22"/>
  <c r="J40" i="22"/>
  <c r="K40" i="22"/>
  <c r="C41" i="22"/>
  <c r="D41" i="22"/>
  <c r="E41" i="22"/>
  <c r="L41" i="22" s="1"/>
  <c r="F41" i="22"/>
  <c r="G41" i="22"/>
  <c r="H41" i="22"/>
  <c r="I41" i="22"/>
  <c r="J41" i="22"/>
  <c r="K41" i="22"/>
  <c r="C42" i="22"/>
  <c r="D42" i="22"/>
  <c r="E42" i="22"/>
  <c r="F42" i="22"/>
  <c r="G42" i="22"/>
  <c r="H42" i="22"/>
  <c r="I42" i="22"/>
  <c r="J42" i="22"/>
  <c r="K42" i="22"/>
  <c r="C43" i="22"/>
  <c r="L43" i="22" s="1"/>
  <c r="AC43" i="22" s="1"/>
  <c r="D43" i="22"/>
  <c r="E43" i="22"/>
  <c r="F43" i="22"/>
  <c r="G43" i="22"/>
  <c r="H43" i="22"/>
  <c r="I43" i="22"/>
  <c r="J43" i="22"/>
  <c r="K43" i="22"/>
  <c r="C44" i="22"/>
  <c r="D44" i="22"/>
  <c r="E44" i="22"/>
  <c r="F44" i="22"/>
  <c r="G44" i="22"/>
  <c r="H44" i="22"/>
  <c r="I44" i="22"/>
  <c r="J44" i="22"/>
  <c r="K44" i="22"/>
  <c r="C45" i="22"/>
  <c r="D45" i="22"/>
  <c r="E45" i="22"/>
  <c r="L45" i="22" s="1"/>
  <c r="AC45" i="22" s="1"/>
  <c r="F45" i="22"/>
  <c r="G45" i="22"/>
  <c r="H45" i="22"/>
  <c r="I45" i="22"/>
  <c r="J45" i="22"/>
  <c r="K45" i="22"/>
  <c r="C46" i="22"/>
  <c r="D46" i="22"/>
  <c r="E46" i="22"/>
  <c r="F46" i="22"/>
  <c r="G46" i="22"/>
  <c r="H46" i="22"/>
  <c r="I46" i="22"/>
  <c r="J46" i="22"/>
  <c r="K46" i="22"/>
  <c r="C47" i="22"/>
  <c r="L47" i="22" s="1"/>
  <c r="AC47" i="22" s="1"/>
  <c r="D47" i="22"/>
  <c r="E47" i="22"/>
  <c r="F47" i="22"/>
  <c r="G47" i="22"/>
  <c r="H47" i="22"/>
  <c r="I47" i="22"/>
  <c r="J47" i="22"/>
  <c r="K47" i="22"/>
  <c r="C48" i="22"/>
  <c r="D48" i="22"/>
  <c r="E48" i="22"/>
  <c r="F48" i="22"/>
  <c r="G48" i="22"/>
  <c r="H48" i="22"/>
  <c r="I48" i="22"/>
  <c r="J48" i="22"/>
  <c r="K48" i="22"/>
  <c r="C49" i="22"/>
  <c r="D49" i="22"/>
  <c r="E49" i="22"/>
  <c r="L49" i="22" s="1"/>
  <c r="AC49" i="22" s="1"/>
  <c r="F49" i="22"/>
  <c r="G49" i="22"/>
  <c r="H49" i="22"/>
  <c r="I49" i="22"/>
  <c r="J49" i="22"/>
  <c r="K49" i="22"/>
  <c r="C50" i="22"/>
  <c r="D50" i="22"/>
  <c r="E50" i="22"/>
  <c r="F50" i="22"/>
  <c r="G50" i="22"/>
  <c r="H50" i="22"/>
  <c r="I50" i="22"/>
  <c r="J50" i="22"/>
  <c r="K50" i="22"/>
  <c r="C51" i="22"/>
  <c r="L51" i="22" s="1"/>
  <c r="AC51" i="22" s="1"/>
  <c r="D51" i="22"/>
  <c r="E51" i="22"/>
  <c r="F51" i="22"/>
  <c r="G51" i="22"/>
  <c r="H51" i="22"/>
  <c r="I51" i="22"/>
  <c r="J51" i="22"/>
  <c r="K51" i="22"/>
  <c r="C52" i="22"/>
  <c r="D52" i="22"/>
  <c r="E52" i="22"/>
  <c r="F52" i="22"/>
  <c r="G52" i="22"/>
  <c r="H52" i="22"/>
  <c r="I52" i="22"/>
  <c r="J52" i="22"/>
  <c r="K52" i="22"/>
  <c r="C53" i="22"/>
  <c r="D53" i="22"/>
  <c r="E53" i="22"/>
  <c r="L53" i="22" s="1"/>
  <c r="AC53" i="22" s="1"/>
  <c r="F53" i="22"/>
  <c r="G53" i="22"/>
  <c r="H53" i="22"/>
  <c r="I53" i="22"/>
  <c r="J53" i="22"/>
  <c r="K53" i="22"/>
  <c r="BT75" i="1"/>
  <c r="W33" i="22"/>
  <c r="A7" i="36"/>
  <c r="G5" i="36"/>
  <c r="CR75" i="1"/>
  <c r="M33" i="22"/>
  <c r="CL75" i="1"/>
  <c r="FF116" i="1"/>
  <c r="FF122" i="1"/>
  <c r="FF121" i="1"/>
  <c r="FF120" i="1"/>
  <c r="FF119" i="1"/>
  <c r="FF118" i="1"/>
  <c r="FF117" i="1"/>
  <c r="N33" i="22"/>
  <c r="AB33" i="22" s="1"/>
  <c r="L52" i="22"/>
  <c r="AC52" i="22" s="1"/>
  <c r="L50" i="22"/>
  <c r="AC50" i="22" s="1"/>
  <c r="L48" i="22"/>
  <c r="AC48" i="22" s="1"/>
  <c r="L46" i="22"/>
  <c r="AC46" i="22" s="1"/>
  <c r="L44" i="22"/>
  <c r="AC44" i="22" s="1"/>
  <c r="L42" i="22"/>
  <c r="AC42" i="22" s="1"/>
  <c r="L40" i="22"/>
  <c r="AC40" i="22" s="1"/>
  <c r="L38" i="22"/>
  <c r="AC38" i="22" s="1"/>
  <c r="X72" i="1"/>
  <c r="AE71" i="1"/>
  <c r="AE72" i="1"/>
  <c r="B13" i="36"/>
  <c r="A13" i="36" s="1"/>
  <c r="L27" i="22"/>
  <c r="AC27" i="22"/>
  <c r="L26" i="22"/>
  <c r="AC26" i="22"/>
  <c r="L25" i="22"/>
  <c r="AC25" i="22"/>
  <c r="L24" i="22"/>
  <c r="AC24" i="22"/>
  <c r="L23" i="22"/>
  <c r="AC23" i="22"/>
  <c r="L22" i="22"/>
  <c r="L21" i="22"/>
  <c r="L20" i="22"/>
  <c r="L19" i="22"/>
  <c r="L18" i="22"/>
  <c r="L17" i="22"/>
  <c r="L16" i="22"/>
  <c r="L15" i="22"/>
  <c r="L14" i="22"/>
  <c r="L13" i="22"/>
  <c r="L12" i="22"/>
  <c r="L11" i="22"/>
  <c r="L10" i="22"/>
  <c r="L9" i="22"/>
  <c r="L8" i="22"/>
  <c r="L7" i="22"/>
  <c r="FA77" i="1"/>
  <c r="FE76" i="1"/>
  <c r="FA76" i="1"/>
  <c r="FB71" i="1"/>
  <c r="FE70" i="1"/>
  <c r="FE69" i="1"/>
  <c r="FF69" i="1"/>
  <c r="Z103" i="1"/>
  <c r="Z102" i="1"/>
  <c r="Z101" i="1"/>
  <c r="Z100" i="1"/>
  <c r="Z99" i="1"/>
  <c r="EH72" i="1"/>
  <c r="EB72" i="1"/>
  <c r="DV72" i="1"/>
  <c r="DP72" i="1"/>
  <c r="DJ72" i="1"/>
  <c r="DD72" i="1"/>
  <c r="CX72" i="1"/>
  <c r="CR72" i="1"/>
  <c r="CL72" i="1"/>
  <c r="BZ72" i="1"/>
  <c r="BI72" i="1"/>
  <c r="BD72" i="1"/>
  <c r="AO72" i="1"/>
  <c r="FE75" i="1"/>
  <c r="FA75" i="1"/>
  <c r="FE74" i="1"/>
  <c r="FA74" i="1"/>
  <c r="FE73" i="1"/>
  <c r="FA73" i="1"/>
  <c r="FE72" i="1"/>
  <c r="FA72" i="1"/>
  <c r="FA71" i="1"/>
  <c r="EH71" i="1"/>
  <c r="EB71" i="1"/>
  <c r="DV71" i="1"/>
  <c r="DP71" i="1"/>
  <c r="DJ71" i="1"/>
  <c r="DD71" i="1"/>
  <c r="CX71" i="1"/>
  <c r="CR71" i="1"/>
  <c r="CF71" i="1"/>
  <c r="BZ71" i="1"/>
  <c r="BT71" i="1"/>
  <c r="BN71" i="1"/>
  <c r="BN72" i="1"/>
  <c r="BI71" i="1"/>
  <c r="BD71" i="1"/>
  <c r="AY71" i="1"/>
  <c r="AY72" i="1"/>
  <c r="AT71" i="1"/>
  <c r="AO71" i="1"/>
  <c r="AJ71" i="1"/>
  <c r="AJ72" i="1"/>
  <c r="FE71" i="1"/>
  <c r="AO70" i="1"/>
  <c r="AT70" i="1"/>
  <c r="AY70" i="1"/>
  <c r="EH70" i="1"/>
  <c r="ED70" i="1"/>
  <c r="BI70" i="1"/>
  <c r="EB70" i="1"/>
  <c r="BN70" i="1"/>
  <c r="DV70" i="1"/>
  <c r="DR70" i="1"/>
  <c r="AL70" i="1"/>
  <c r="DJ70" i="1"/>
  <c r="AJ70" i="1"/>
  <c r="DD70" i="1"/>
  <c r="BD70" i="1"/>
  <c r="BZ70" i="1"/>
  <c r="DP70" i="1"/>
  <c r="DL70" i="1"/>
  <c r="BT70" i="1"/>
  <c r="CX70" i="1"/>
  <c r="CR70" i="1"/>
  <c r="Z70" i="1"/>
  <c r="CL70" i="1"/>
  <c r="CF70" i="1"/>
  <c r="FF66" i="1"/>
  <c r="FF67" i="1"/>
  <c r="FF68" i="1"/>
  <c r="FF65" i="1"/>
  <c r="FB65" i="1"/>
  <c r="FD65" i="1"/>
  <c r="FE65" i="1"/>
  <c r="FE66" i="1"/>
  <c r="FE67" i="1"/>
  <c r="FE68" i="1"/>
  <c r="FD66" i="1"/>
  <c r="FD67" i="1"/>
  <c r="FD68" i="1"/>
  <c r="FD69" i="1"/>
  <c r="FB66" i="1"/>
  <c r="FB67" i="1"/>
  <c r="FB68" i="1"/>
  <c r="FB69" i="1"/>
  <c r="FA66" i="1"/>
  <c r="FA67" i="1"/>
  <c r="FA68" i="1"/>
  <c r="FA69" i="1"/>
  <c r="FA70" i="1"/>
  <c r="FA65" i="1"/>
  <c r="FA64" i="1"/>
  <c r="BN61" i="1"/>
  <c r="BI61" i="1"/>
  <c r="AY61" i="1"/>
  <c r="AT61" i="1"/>
  <c r="AO61" i="1"/>
  <c r="AJ61" i="1"/>
  <c r="AE61" i="1"/>
  <c r="Z61" i="1"/>
  <c r="BN60" i="1"/>
  <c r="BI60" i="1"/>
  <c r="AY60" i="1"/>
  <c r="AT60" i="1"/>
  <c r="AO60" i="1"/>
  <c r="AJ60" i="1"/>
  <c r="AE60" i="1"/>
  <c r="Z60" i="1"/>
  <c r="BN59" i="1"/>
  <c r="BI59" i="1"/>
  <c r="AY59" i="1"/>
  <c r="AT59" i="1"/>
  <c r="AO59" i="1"/>
  <c r="AJ59" i="1"/>
  <c r="AE59" i="1"/>
  <c r="Z59" i="1"/>
  <c r="FA60" i="1"/>
  <c r="FA61" i="1"/>
  <c r="FF61" i="1"/>
  <c r="FA62" i="1"/>
  <c r="FA63" i="1"/>
  <c r="FB59" i="1"/>
  <c r="FA59" i="1"/>
  <c r="FE59" i="1"/>
  <c r="FB60" i="1"/>
  <c r="FE60" i="1"/>
  <c r="FB61" i="1"/>
  <c r="FE61" i="1"/>
  <c r="FB62" i="1"/>
  <c r="FE62" i="1"/>
  <c r="FB63" i="1"/>
  <c r="FE63" i="1"/>
  <c r="FB64" i="1"/>
  <c r="FE64" i="1"/>
  <c r="FA58" i="1"/>
  <c r="BD57" i="1"/>
  <c r="BA58" i="1"/>
  <c r="FE58" i="1"/>
  <c r="BN56" i="1"/>
  <c r="BL57" i="1"/>
  <c r="BN57" i="1"/>
  <c r="BL58" i="1"/>
  <c r="FA55" i="1"/>
  <c r="FE57" i="1"/>
  <c r="FE56" i="1"/>
  <c r="FE55" i="1"/>
  <c r="FE54" i="1"/>
  <c r="FE53" i="1"/>
  <c r="FE52" i="1"/>
  <c r="FE51" i="1"/>
  <c r="FE50" i="1"/>
  <c r="FE49" i="1"/>
  <c r="FE48" i="1"/>
  <c r="FE47" i="1"/>
  <c r="FE46" i="1"/>
  <c r="FE45" i="1"/>
  <c r="FE44" i="1"/>
  <c r="FE43" i="1"/>
  <c r="FE42" i="1"/>
  <c r="FE41" i="1"/>
  <c r="FE40" i="1"/>
  <c r="FE39" i="1"/>
  <c r="FE38" i="1"/>
  <c r="FE37" i="1"/>
  <c r="FE36" i="1"/>
  <c r="FE35" i="1"/>
  <c r="FE34" i="1"/>
  <c r="FE33" i="1"/>
  <c r="FE32" i="1"/>
  <c r="FE31" i="1"/>
  <c r="FE30" i="1"/>
  <c r="FE29" i="1"/>
  <c r="FE28" i="1"/>
  <c r="FE27" i="1"/>
  <c r="FE26" i="1"/>
  <c r="FE25" i="1"/>
  <c r="FE24" i="1"/>
  <c r="FE23" i="1"/>
  <c r="FE22" i="1"/>
  <c r="FE20" i="1"/>
  <c r="FE19" i="1"/>
  <c r="FE18" i="1"/>
  <c r="FE17" i="1"/>
  <c r="FE16" i="1"/>
  <c r="FE15" i="1"/>
  <c r="FE14" i="1"/>
  <c r="FE21" i="1"/>
  <c r="FA52" i="1"/>
  <c r="FB52" i="1"/>
  <c r="FB53" i="1"/>
  <c r="FA53" i="1"/>
  <c r="FB54" i="1"/>
  <c r="FA54" i="1"/>
  <c r="FB55" i="1"/>
  <c r="FB56" i="1"/>
  <c r="FA56" i="1"/>
  <c r="Z56" i="1"/>
  <c r="AJ56" i="1"/>
  <c r="AO56" i="1"/>
  <c r="AT56" i="1"/>
  <c r="AY56" i="1"/>
  <c r="AE56" i="1"/>
  <c r="BD56" i="1"/>
  <c r="BI56" i="1"/>
  <c r="FB57" i="1"/>
  <c r="FA57" i="1"/>
  <c r="Z57" i="1"/>
  <c r="AJ57" i="1"/>
  <c r="AO57" i="1"/>
  <c r="AT57" i="1"/>
  <c r="AY57" i="1"/>
  <c r="AE57" i="1"/>
  <c r="BI57" i="1"/>
  <c r="FB11" i="1"/>
  <c r="FB12" i="1"/>
  <c r="FB13" i="1"/>
  <c r="FB14" i="1"/>
  <c r="FB15" i="1"/>
  <c r="FF15" i="1"/>
  <c r="FB16" i="1"/>
  <c r="FB17" i="1"/>
  <c r="FB18" i="1"/>
  <c r="FB19" i="1"/>
  <c r="FB20" i="1"/>
  <c r="FB21" i="1"/>
  <c r="FB22" i="1"/>
  <c r="FB23" i="1"/>
  <c r="FB24" i="1"/>
  <c r="FB25" i="1"/>
  <c r="FB26" i="1"/>
  <c r="FB27" i="1"/>
  <c r="FB28" i="1"/>
  <c r="FB29" i="1"/>
  <c r="FB30" i="1"/>
  <c r="FB31" i="1"/>
  <c r="FB32" i="1"/>
  <c r="FB33" i="1"/>
  <c r="FB34" i="1"/>
  <c r="FB35" i="1"/>
  <c r="FF35" i="1"/>
  <c r="FD36" i="1"/>
  <c r="FB36" i="1"/>
  <c r="FB37" i="1"/>
  <c r="FB38" i="1"/>
  <c r="FB39" i="1"/>
  <c r="FF39" i="1"/>
  <c r="FD40" i="1"/>
  <c r="FB40" i="1"/>
  <c r="FB41" i="1"/>
  <c r="FB42" i="1"/>
  <c r="FB43" i="1"/>
  <c r="FF43" i="1"/>
  <c r="FD44" i="1"/>
  <c r="FB44" i="1"/>
  <c r="FB45" i="1"/>
  <c r="AB46" i="1"/>
  <c r="AE46" i="1"/>
  <c r="AC47" i="1"/>
  <c r="AG46" i="1"/>
  <c r="AL46" i="1"/>
  <c r="AQ46" i="1"/>
  <c r="AV46" i="1"/>
  <c r="AY46" i="1"/>
  <c r="AW47" i="1"/>
  <c r="BA46" i="1"/>
  <c r="BD46" i="1"/>
  <c r="BB47" i="1"/>
  <c r="BF46" i="1"/>
  <c r="BI46" i="1"/>
  <c r="BG47" i="1"/>
  <c r="FB47" i="1"/>
  <c r="FB48" i="1"/>
  <c r="FB49" i="1"/>
  <c r="FB50" i="1"/>
  <c r="W51" i="1"/>
  <c r="AB51" i="1"/>
  <c r="AG51" i="1"/>
  <c r="FB51" i="1"/>
  <c r="AL51" i="1"/>
  <c r="AQ51" i="1"/>
  <c r="AV51" i="1"/>
  <c r="BA51" i="1"/>
  <c r="BF51" i="1"/>
  <c r="FA11" i="1"/>
  <c r="FA12" i="1"/>
  <c r="FF12" i="1"/>
  <c r="FA13" i="1"/>
  <c r="FA14" i="1"/>
  <c r="FA15" i="1"/>
  <c r="FA16" i="1"/>
  <c r="FA17" i="1"/>
  <c r="FA18" i="1"/>
  <c r="FA19" i="1"/>
  <c r="FA20" i="1"/>
  <c r="FA21" i="1"/>
  <c r="FA22" i="1"/>
  <c r="FA23" i="1"/>
  <c r="FA24" i="1"/>
  <c r="FF24" i="1"/>
  <c r="FD25" i="1"/>
  <c r="FA25" i="1"/>
  <c r="FA26" i="1"/>
  <c r="FA27" i="1"/>
  <c r="FA28" i="1"/>
  <c r="FF28" i="1"/>
  <c r="FD29" i="1"/>
  <c r="FA29" i="1"/>
  <c r="FA30" i="1"/>
  <c r="FA31" i="1"/>
  <c r="FA32" i="1"/>
  <c r="FA33" i="1"/>
  <c r="FA34" i="1"/>
  <c r="FA35" i="1"/>
  <c r="FA36" i="1"/>
  <c r="FF36" i="1"/>
  <c r="FD37" i="1"/>
  <c r="FA37" i="1"/>
  <c r="FA38" i="1"/>
  <c r="FA39" i="1"/>
  <c r="FA40" i="1"/>
  <c r="FF40" i="1"/>
  <c r="FA41" i="1"/>
  <c r="FA42" i="1"/>
  <c r="FA43" i="1"/>
  <c r="FA44" i="1"/>
  <c r="FF44" i="1"/>
  <c r="FA45" i="1"/>
  <c r="FA46" i="1"/>
  <c r="FA47" i="1"/>
  <c r="FA48" i="1"/>
  <c r="FF48" i="1"/>
  <c r="FA49" i="1"/>
  <c r="FF49" i="1"/>
  <c r="FA50" i="1"/>
  <c r="FA51" i="1"/>
  <c r="FA10" i="1"/>
  <c r="FF10" i="1"/>
  <c r="BN54" i="1"/>
  <c r="BL55" i="1"/>
  <c r="BN55" i="1"/>
  <c r="BN58" i="1"/>
  <c r="BI52" i="1"/>
  <c r="AE50" i="1"/>
  <c r="Z49" i="1"/>
  <c r="X50" i="1"/>
  <c r="FA9" i="1"/>
  <c r="Z46" i="1"/>
  <c r="X47" i="1"/>
  <c r="X48" i="1"/>
  <c r="Z48" i="1"/>
  <c r="X49" i="1"/>
  <c r="BI49" i="1"/>
  <c r="BG50" i="1"/>
  <c r="BD49" i="1"/>
  <c r="BB50" i="1"/>
  <c r="AY49" i="1"/>
  <c r="AW50" i="1"/>
  <c r="AT49" i="1"/>
  <c r="AR50" i="1"/>
  <c r="AO49" i="1"/>
  <c r="AM50" i="1"/>
  <c r="AJ49" i="1"/>
  <c r="AH50" i="1"/>
  <c r="AE49" i="1"/>
  <c r="AC50" i="1"/>
  <c r="BI48" i="1"/>
  <c r="BG49" i="1"/>
  <c r="BD48" i="1"/>
  <c r="BB49" i="1"/>
  <c r="AY48" i="1"/>
  <c r="AW49" i="1"/>
  <c r="AT48" i="1"/>
  <c r="AR49" i="1"/>
  <c r="AO48" i="1"/>
  <c r="AM49" i="1"/>
  <c r="AJ48" i="1"/>
  <c r="AH49" i="1"/>
  <c r="AE48" i="1"/>
  <c r="AC49" i="1"/>
  <c r="BI47" i="1"/>
  <c r="BG48" i="1"/>
  <c r="BD47" i="1"/>
  <c r="BB48" i="1"/>
  <c r="AY47" i="1"/>
  <c r="AW48" i="1"/>
  <c r="AT47" i="1"/>
  <c r="AR48" i="1"/>
  <c r="AO47" i="1"/>
  <c r="AM48" i="1"/>
  <c r="AJ47" i="1"/>
  <c r="AH48" i="1"/>
  <c r="AE47" i="1"/>
  <c r="AC48" i="1"/>
  <c r="BI43" i="1"/>
  <c r="BG44" i="1"/>
  <c r="BI44" i="1"/>
  <c r="BG45" i="1"/>
  <c r="BI45" i="1"/>
  <c r="BG46" i="1"/>
  <c r="BI50" i="1"/>
  <c r="BI53" i="1"/>
  <c r="BI54" i="1"/>
  <c r="BI55" i="1"/>
  <c r="BD43" i="1"/>
  <c r="BB44" i="1"/>
  <c r="BD44" i="1"/>
  <c r="BB45" i="1"/>
  <c r="BD45" i="1"/>
  <c r="BB46" i="1"/>
  <c r="BD50" i="1"/>
  <c r="BD52" i="1"/>
  <c r="BD53" i="1"/>
  <c r="BD54" i="1"/>
  <c r="BD55" i="1"/>
  <c r="AY43" i="1"/>
  <c r="AW44" i="1"/>
  <c r="AY44" i="1"/>
  <c r="AW45" i="1"/>
  <c r="AY45" i="1"/>
  <c r="AY50" i="1"/>
  <c r="AT43" i="1"/>
  <c r="AR44" i="1"/>
  <c r="AT44" i="1"/>
  <c r="AR45" i="1"/>
  <c r="AT45" i="1"/>
  <c r="AT46" i="1"/>
  <c r="AR47" i="1"/>
  <c r="AT50" i="1"/>
  <c r="AT52" i="1"/>
  <c r="AT53" i="1"/>
  <c r="AT54" i="1"/>
  <c r="AT55" i="1"/>
  <c r="AO43" i="1"/>
  <c r="AM44" i="1"/>
  <c r="AO44" i="1"/>
  <c r="AM45" i="1"/>
  <c r="AO45" i="1"/>
  <c r="AM46" i="1"/>
  <c r="AO46" i="1"/>
  <c r="AM47" i="1"/>
  <c r="AO50" i="1"/>
  <c r="AO52" i="1"/>
  <c r="AO53" i="1"/>
  <c r="AO54" i="1"/>
  <c r="AO55" i="1"/>
  <c r="AJ45" i="1"/>
  <c r="AJ43" i="1"/>
  <c r="AH44" i="1"/>
  <c r="AJ44" i="1"/>
  <c r="AH45" i="1"/>
  <c r="AE43" i="1"/>
  <c r="AC44" i="1"/>
  <c r="AE44" i="1"/>
  <c r="AC45" i="1"/>
  <c r="AE45" i="1"/>
  <c r="AE52" i="1"/>
  <c r="AE53" i="1"/>
  <c r="AE55" i="1"/>
  <c r="Z43" i="1"/>
  <c r="X44" i="1"/>
  <c r="Z44" i="1"/>
  <c r="X45" i="1"/>
  <c r="Z45" i="1"/>
  <c r="X46" i="1"/>
  <c r="AY42" i="1"/>
  <c r="AW43" i="1"/>
  <c r="BI42" i="1"/>
  <c r="BG43" i="1"/>
  <c r="BD42" i="1"/>
  <c r="BB43" i="1"/>
  <c r="AT42" i="1"/>
  <c r="AR43" i="1"/>
  <c r="AO42" i="1"/>
  <c r="AM43" i="1"/>
  <c r="AJ42" i="1"/>
  <c r="AH43" i="1"/>
  <c r="AE42" i="1"/>
  <c r="AC43" i="1"/>
  <c r="Z42" i="1"/>
  <c r="X43" i="1"/>
  <c r="BI58" i="1"/>
  <c r="AY41" i="1"/>
  <c r="AW42" i="1"/>
  <c r="AT41" i="1"/>
  <c r="AR42" i="1"/>
  <c r="AT40" i="1"/>
  <c r="AR41" i="1"/>
  <c r="AO58" i="1"/>
  <c r="BI39" i="1"/>
  <c r="BD39" i="1"/>
  <c r="BB40" i="1"/>
  <c r="AY39" i="1"/>
  <c r="AW40" i="1"/>
  <c r="AT39" i="1"/>
  <c r="AR40" i="1"/>
  <c r="AO39" i="1"/>
  <c r="AJ39" i="1"/>
  <c r="AE39" i="1"/>
  <c r="F8" i="1"/>
  <c r="D9" i="1"/>
  <c r="K8" i="1"/>
  <c r="I9" i="1"/>
  <c r="P8" i="1"/>
  <c r="FB8" i="1"/>
  <c r="FF8" i="1"/>
  <c r="FE8" i="1"/>
  <c r="F9" i="1"/>
  <c r="D10" i="1"/>
  <c r="K9" i="1"/>
  <c r="I10" i="1"/>
  <c r="N9" i="1"/>
  <c r="P9" i="1"/>
  <c r="N10" i="1"/>
  <c r="FE9" i="1"/>
  <c r="F10" i="1"/>
  <c r="D11" i="1"/>
  <c r="K10" i="1"/>
  <c r="I11" i="1"/>
  <c r="P10" i="1"/>
  <c r="N11" i="1"/>
  <c r="S10" i="1"/>
  <c r="U10" i="1"/>
  <c r="S11" i="1"/>
  <c r="FE10" i="1"/>
  <c r="F11" i="1"/>
  <c r="D12" i="1"/>
  <c r="K11" i="1"/>
  <c r="I12" i="1"/>
  <c r="P11" i="1"/>
  <c r="N12" i="1"/>
  <c r="U11" i="1"/>
  <c r="S12" i="1"/>
  <c r="FE11" i="1"/>
  <c r="F12" i="1"/>
  <c r="D13" i="1"/>
  <c r="K12" i="1"/>
  <c r="I13" i="1"/>
  <c r="P12" i="1"/>
  <c r="N13" i="1"/>
  <c r="U12" i="1"/>
  <c r="S13" i="1"/>
  <c r="FE12" i="1"/>
  <c r="F13" i="1"/>
  <c r="D14" i="1"/>
  <c r="K13" i="1"/>
  <c r="I14" i="1"/>
  <c r="P13" i="1"/>
  <c r="N14" i="1"/>
  <c r="U13" i="1"/>
  <c r="S14" i="1"/>
  <c r="FE13" i="1"/>
  <c r="F14" i="1"/>
  <c r="D15" i="1"/>
  <c r="K14" i="1"/>
  <c r="I15" i="1"/>
  <c r="P14" i="1"/>
  <c r="N15" i="1"/>
  <c r="U14" i="1"/>
  <c r="S15" i="1"/>
  <c r="F15" i="1"/>
  <c r="D16" i="1"/>
  <c r="K15" i="1"/>
  <c r="I16" i="1"/>
  <c r="P15" i="1"/>
  <c r="N16" i="1"/>
  <c r="U15" i="1"/>
  <c r="S16" i="1"/>
  <c r="F16" i="1"/>
  <c r="D17" i="1"/>
  <c r="K16" i="1"/>
  <c r="I17" i="1"/>
  <c r="P16" i="1"/>
  <c r="N17" i="1"/>
  <c r="U16" i="1"/>
  <c r="S17" i="1"/>
  <c r="F17" i="1"/>
  <c r="D18" i="1"/>
  <c r="K17" i="1"/>
  <c r="I18" i="1"/>
  <c r="P17" i="1"/>
  <c r="N18" i="1"/>
  <c r="U17" i="1"/>
  <c r="S18" i="1"/>
  <c r="F18" i="1"/>
  <c r="D19" i="1"/>
  <c r="K18" i="1"/>
  <c r="I19" i="1"/>
  <c r="P18" i="1"/>
  <c r="N19" i="1"/>
  <c r="U18" i="1"/>
  <c r="S19" i="1"/>
  <c r="X18" i="1"/>
  <c r="Z18" i="1"/>
  <c r="X19" i="1"/>
  <c r="F19" i="1"/>
  <c r="D20" i="1"/>
  <c r="K19" i="1"/>
  <c r="I20" i="1"/>
  <c r="P19" i="1"/>
  <c r="N20" i="1"/>
  <c r="U19" i="1"/>
  <c r="S20" i="1"/>
  <c r="Z19" i="1"/>
  <c r="X20" i="1"/>
  <c r="AC19" i="1"/>
  <c r="AE19" i="1"/>
  <c r="AC20" i="1"/>
  <c r="F20" i="1"/>
  <c r="D21" i="1"/>
  <c r="K20" i="1"/>
  <c r="I21" i="1"/>
  <c r="P20" i="1"/>
  <c r="N21" i="1"/>
  <c r="U20" i="1"/>
  <c r="S21" i="1"/>
  <c r="Z20" i="1"/>
  <c r="X21" i="1"/>
  <c r="AE20" i="1"/>
  <c r="AC21" i="1"/>
  <c r="AH20" i="1"/>
  <c r="AJ20" i="1"/>
  <c r="AH21" i="1"/>
  <c r="AM20" i="1"/>
  <c r="AO20" i="1"/>
  <c r="AM21" i="1"/>
  <c r="AR20" i="1"/>
  <c r="AT20" i="1"/>
  <c r="AR21" i="1"/>
  <c r="F21" i="1"/>
  <c r="D22" i="1"/>
  <c r="K21" i="1"/>
  <c r="I22" i="1"/>
  <c r="P21" i="1"/>
  <c r="N22" i="1"/>
  <c r="U21" i="1"/>
  <c r="S22" i="1"/>
  <c r="Z21" i="1"/>
  <c r="X22" i="1"/>
  <c r="AE21" i="1"/>
  <c r="AC22" i="1"/>
  <c r="AJ21" i="1"/>
  <c r="AH22" i="1"/>
  <c r="AO21" i="1"/>
  <c r="AM22" i="1"/>
  <c r="AT21" i="1"/>
  <c r="AR22" i="1"/>
  <c r="F22" i="1"/>
  <c r="D23" i="1"/>
  <c r="K22" i="1"/>
  <c r="I23" i="1"/>
  <c r="P22" i="1"/>
  <c r="N23" i="1"/>
  <c r="U22" i="1"/>
  <c r="Z22" i="1"/>
  <c r="X23" i="1"/>
  <c r="AE22" i="1"/>
  <c r="AJ22" i="1"/>
  <c r="AH23" i="1"/>
  <c r="AO22" i="1"/>
  <c r="AM23" i="1"/>
  <c r="AT22" i="1"/>
  <c r="AR23" i="1"/>
  <c r="FF34" i="1"/>
  <c r="BI41" i="1"/>
  <c r="BG42" i="1"/>
  <c r="BI40" i="1"/>
  <c r="BG41" i="1"/>
  <c r="BI38" i="1"/>
  <c r="BG39" i="1"/>
  <c r="BI37" i="1"/>
  <c r="BG38" i="1"/>
  <c r="BI36" i="1"/>
  <c r="BG37" i="1"/>
  <c r="BI35" i="1"/>
  <c r="BG36" i="1"/>
  <c r="BI34" i="1"/>
  <c r="BG35" i="1"/>
  <c r="BD41" i="1"/>
  <c r="BB42" i="1"/>
  <c r="BD40" i="1"/>
  <c r="BB41" i="1"/>
  <c r="BD38" i="1"/>
  <c r="BB39" i="1"/>
  <c r="BD37" i="1"/>
  <c r="BB38" i="1"/>
  <c r="BD36" i="1"/>
  <c r="BB37" i="1"/>
  <c r="BD35" i="1"/>
  <c r="BB36" i="1"/>
  <c r="BD34" i="1"/>
  <c r="BB35" i="1"/>
  <c r="AY40" i="1"/>
  <c r="AW41" i="1"/>
  <c r="AY38" i="1"/>
  <c r="AW39" i="1"/>
  <c r="AY37" i="1"/>
  <c r="AW38" i="1"/>
  <c r="AY36" i="1"/>
  <c r="AW37" i="1"/>
  <c r="AY35" i="1"/>
  <c r="AW36" i="1"/>
  <c r="AY34" i="1"/>
  <c r="AW35" i="1"/>
  <c r="AY33" i="1"/>
  <c r="AW34" i="1"/>
  <c r="AT38" i="1"/>
  <c r="AR39" i="1"/>
  <c r="AT37" i="1"/>
  <c r="AR38" i="1"/>
  <c r="AT36" i="1"/>
  <c r="AR37" i="1"/>
  <c r="AT35" i="1"/>
  <c r="AR36" i="1"/>
  <c r="AT34" i="1"/>
  <c r="AR35" i="1"/>
  <c r="AT33" i="1"/>
  <c r="AR34" i="1"/>
  <c r="AT32" i="1"/>
  <c r="AR33" i="1"/>
  <c r="AT31" i="1"/>
  <c r="AR32" i="1"/>
  <c r="AT30" i="1"/>
  <c r="AR31" i="1"/>
  <c r="AT29" i="1"/>
  <c r="AR30" i="1"/>
  <c r="AT28" i="1"/>
  <c r="AR29" i="1"/>
  <c r="AT27" i="1"/>
  <c r="AR28" i="1"/>
  <c r="AT26" i="1"/>
  <c r="AR27" i="1"/>
  <c r="AT25" i="1"/>
  <c r="AR26" i="1"/>
  <c r="AT24" i="1"/>
  <c r="AR25" i="1"/>
  <c r="AT23" i="1"/>
  <c r="AR24" i="1"/>
  <c r="AO41" i="1"/>
  <c r="AM42" i="1"/>
  <c r="AO40" i="1"/>
  <c r="AM41" i="1"/>
  <c r="AO38" i="1"/>
  <c r="AM39" i="1"/>
  <c r="AO37" i="1"/>
  <c r="AM38" i="1"/>
  <c r="AO36" i="1"/>
  <c r="AM37" i="1"/>
  <c r="AO35" i="1"/>
  <c r="AM36" i="1"/>
  <c r="AO34" i="1"/>
  <c r="AM35" i="1"/>
  <c r="AO33" i="1"/>
  <c r="AM34" i="1"/>
  <c r="AO32" i="1"/>
  <c r="AM33" i="1"/>
  <c r="AO31" i="1"/>
  <c r="AM32" i="1"/>
  <c r="AO30" i="1"/>
  <c r="AM31" i="1"/>
  <c r="AO29" i="1"/>
  <c r="AM30" i="1"/>
  <c r="AO28" i="1"/>
  <c r="AM29" i="1"/>
  <c r="AO27" i="1"/>
  <c r="AM28" i="1"/>
  <c r="AO26" i="1"/>
  <c r="AM27" i="1"/>
  <c r="AO25" i="1"/>
  <c r="AM26" i="1"/>
  <c r="AO24" i="1"/>
  <c r="AM25" i="1"/>
  <c r="AO23" i="1"/>
  <c r="AM24" i="1"/>
  <c r="AJ41" i="1"/>
  <c r="AH42" i="1"/>
  <c r="AJ40" i="1"/>
  <c r="AH41" i="1"/>
  <c r="AJ38" i="1"/>
  <c r="AH39" i="1"/>
  <c r="AJ37" i="1"/>
  <c r="AH38" i="1"/>
  <c r="AJ36" i="1"/>
  <c r="AH37" i="1"/>
  <c r="AJ35" i="1"/>
  <c r="AH36" i="1"/>
  <c r="AJ34" i="1"/>
  <c r="AH35" i="1"/>
  <c r="AJ33" i="1"/>
  <c r="AH34" i="1"/>
  <c r="AJ32" i="1"/>
  <c r="AH33" i="1"/>
  <c r="AJ31" i="1"/>
  <c r="AH32" i="1"/>
  <c r="AJ30" i="1"/>
  <c r="AH31" i="1"/>
  <c r="AJ29" i="1"/>
  <c r="AH30" i="1"/>
  <c r="AJ28" i="1"/>
  <c r="AH29" i="1"/>
  <c r="AJ27" i="1"/>
  <c r="AH28" i="1"/>
  <c r="AJ26" i="1"/>
  <c r="AH27" i="1"/>
  <c r="AJ25" i="1"/>
  <c r="AH26" i="1"/>
  <c r="AJ24" i="1"/>
  <c r="AH25" i="1"/>
  <c r="AJ23" i="1"/>
  <c r="AH24" i="1"/>
  <c r="AE41" i="1"/>
  <c r="AC42" i="1"/>
  <c r="AE40" i="1"/>
  <c r="AC41" i="1"/>
  <c r="AE38" i="1"/>
  <c r="AC39" i="1"/>
  <c r="AE37" i="1"/>
  <c r="AC38" i="1"/>
  <c r="AE36" i="1"/>
  <c r="AC37" i="1"/>
  <c r="AE35" i="1"/>
  <c r="AC36" i="1"/>
  <c r="AE34" i="1"/>
  <c r="AC35" i="1"/>
  <c r="AE33" i="1"/>
  <c r="AC34" i="1"/>
  <c r="AE32" i="1"/>
  <c r="AC33" i="1"/>
  <c r="AE31" i="1"/>
  <c r="AC32" i="1"/>
  <c r="AE30" i="1"/>
  <c r="AC31" i="1"/>
  <c r="AE29" i="1"/>
  <c r="AC30" i="1"/>
  <c r="AE28" i="1"/>
  <c r="AC29" i="1"/>
  <c r="AE27" i="1"/>
  <c r="AC28" i="1"/>
  <c r="AE26" i="1"/>
  <c r="AC27" i="1"/>
  <c r="AE25" i="1"/>
  <c r="AC26" i="1"/>
  <c r="AE24" i="1"/>
  <c r="AC25" i="1"/>
  <c r="AE23" i="1"/>
  <c r="AC24" i="1"/>
  <c r="Z41" i="1"/>
  <c r="X42" i="1"/>
  <c r="Z40" i="1"/>
  <c r="X41" i="1"/>
  <c r="Z39" i="1"/>
  <c r="X40" i="1"/>
  <c r="Z38" i="1"/>
  <c r="X39" i="1"/>
  <c r="Z37" i="1"/>
  <c r="X38" i="1"/>
  <c r="Z36" i="1"/>
  <c r="X37" i="1"/>
  <c r="Z35" i="1"/>
  <c r="X36" i="1"/>
  <c r="Z34" i="1"/>
  <c r="X35" i="1"/>
  <c r="Z33" i="1"/>
  <c r="X34" i="1"/>
  <c r="Z32" i="1"/>
  <c r="X33" i="1"/>
  <c r="Z31" i="1"/>
  <c r="X32" i="1"/>
  <c r="Z30" i="1"/>
  <c r="X31" i="1"/>
  <c r="Z29" i="1"/>
  <c r="X30" i="1"/>
  <c r="Z28" i="1"/>
  <c r="X29" i="1"/>
  <c r="Z27" i="1"/>
  <c r="X28" i="1"/>
  <c r="Z26" i="1"/>
  <c r="X27" i="1"/>
  <c r="Z25" i="1"/>
  <c r="X26" i="1"/>
  <c r="Z24" i="1"/>
  <c r="X25" i="1"/>
  <c r="Z23" i="1"/>
  <c r="X24" i="1"/>
  <c r="U23" i="1"/>
  <c r="S24" i="1"/>
  <c r="BG40" i="1"/>
  <c r="BG34" i="1"/>
  <c r="BB34" i="1"/>
  <c r="AW33" i="1"/>
  <c r="AM40" i="1"/>
  <c r="AH40" i="1"/>
  <c r="AC40" i="1"/>
  <c r="AC23" i="1"/>
  <c r="S25" i="1"/>
  <c r="S23" i="1"/>
  <c r="P29" i="1"/>
  <c r="P28" i="1"/>
  <c r="N29" i="1"/>
  <c r="P27" i="1"/>
  <c r="N28" i="1"/>
  <c r="P26" i="1"/>
  <c r="N27" i="1"/>
  <c r="P25" i="1"/>
  <c r="N26" i="1"/>
  <c r="P24" i="1"/>
  <c r="N25" i="1"/>
  <c r="P23" i="1"/>
  <c r="N24" i="1"/>
  <c r="K29" i="1"/>
  <c r="K28" i="1"/>
  <c r="K27" i="1"/>
  <c r="I28" i="1"/>
  <c r="K26" i="1"/>
  <c r="I27" i="1"/>
  <c r="K25" i="1"/>
  <c r="I26" i="1"/>
  <c r="K24" i="1"/>
  <c r="I25" i="1"/>
  <c r="K23" i="1"/>
  <c r="I24" i="1"/>
  <c r="F29" i="1"/>
  <c r="D30" i="1"/>
  <c r="F28" i="1"/>
  <c r="D29" i="1"/>
  <c r="F27" i="1"/>
  <c r="D28" i="1"/>
  <c r="F26" i="1"/>
  <c r="D27" i="1"/>
  <c r="F25" i="1"/>
  <c r="D26" i="1"/>
  <c r="F24" i="1"/>
  <c r="D25" i="1"/>
  <c r="F23" i="1"/>
  <c r="D24" i="1"/>
  <c r="AE58" i="1"/>
  <c r="AT58" i="1"/>
  <c r="FF47" i="1"/>
  <c r="AJ50" i="1"/>
  <c r="AJ52" i="1"/>
  <c r="AJ53" i="1"/>
  <c r="AJ55" i="1"/>
  <c r="AJ58" i="1"/>
  <c r="Z50" i="1"/>
  <c r="Z52" i="1"/>
  <c r="Z53" i="1"/>
  <c r="Z55" i="1"/>
  <c r="Z58" i="1"/>
  <c r="AY52" i="1"/>
  <c r="AY53" i="1"/>
  <c r="AY54" i="1"/>
  <c r="AY55" i="1"/>
  <c r="AY58" i="1"/>
  <c r="Z72" i="1"/>
  <c r="CF72" i="1"/>
  <c r="EH73" i="1"/>
  <c r="EB73" i="1"/>
  <c r="S31" i="22"/>
  <c r="DV73" i="1"/>
  <c r="DP73" i="1"/>
  <c r="DJ73" i="1"/>
  <c r="CX73" i="1"/>
  <c r="CR73" i="1"/>
  <c r="CL73" i="1"/>
  <c r="CF73" i="1"/>
  <c r="BZ73" i="1"/>
  <c r="BI73" i="1"/>
  <c r="BD73" i="1"/>
  <c r="FF56" i="1"/>
  <c r="FD57" i="1"/>
  <c r="FF9" i="1"/>
  <c r="CL71" i="1"/>
  <c r="BX73" i="1"/>
  <c r="DV74" i="1"/>
  <c r="DD74" i="1"/>
  <c r="CX74" i="1"/>
  <c r="CR74" i="1"/>
  <c r="CL74" i="1"/>
  <c r="DV75" i="1"/>
  <c r="DD75" i="1"/>
  <c r="CX75" i="1"/>
  <c r="BT72" i="1"/>
  <c r="FF62" i="1"/>
  <c r="BB71" i="1"/>
  <c r="BF70" i="1"/>
  <c r="DZ71" i="1"/>
  <c r="FB58" i="1"/>
  <c r="FF58" i="1"/>
  <c r="FD59" i="1"/>
  <c r="BD58" i="1"/>
  <c r="CT70" i="1"/>
  <c r="AT72" i="1"/>
  <c r="AV70" i="1"/>
  <c r="FB72" i="1"/>
  <c r="AR71" i="1"/>
  <c r="BV70" i="1"/>
  <c r="CP71" i="1"/>
  <c r="AE70" i="1"/>
  <c r="AO73" i="1"/>
  <c r="BT73" i="1"/>
  <c r="Z73" i="1"/>
  <c r="AH46" i="1"/>
  <c r="FD35" i="1"/>
  <c r="FD49" i="1"/>
  <c r="FF42" i="1"/>
  <c r="FD43" i="1"/>
  <c r="FF38" i="1"/>
  <c r="FD39" i="1"/>
  <c r="FF30" i="1"/>
  <c r="FD31" i="1"/>
  <c r="FF22" i="1"/>
  <c r="FD23" i="1"/>
  <c r="FF14" i="1"/>
  <c r="FD15" i="1"/>
  <c r="FF27" i="1"/>
  <c r="FD28" i="1"/>
  <c r="FD16" i="1"/>
  <c r="FD63" i="1"/>
  <c r="FC14" i="1"/>
  <c r="FC9" i="1"/>
  <c r="FF72" i="1"/>
  <c r="FC24" i="1"/>
  <c r="AC46" i="1"/>
  <c r="FD10" i="1"/>
  <c r="W31" i="22"/>
  <c r="AQ97" i="1"/>
  <c r="DN70" i="1"/>
  <c r="N32" i="22"/>
  <c r="AB32" i="22" s="1"/>
  <c r="M31" i="22"/>
  <c r="P31" i="22"/>
  <c r="FC23" i="1"/>
  <c r="AO74" i="1"/>
  <c r="H31" i="22"/>
  <c r="DT70" i="1"/>
  <c r="AC71" i="1"/>
  <c r="CN97" i="1"/>
  <c r="AW70" i="1"/>
  <c r="DX97" i="1"/>
  <c r="FF51" i="1"/>
  <c r="FD52" i="1"/>
  <c r="Q33" i="22"/>
  <c r="U32" i="22"/>
  <c r="CW110" i="1"/>
  <c r="V31" i="22"/>
  <c r="O31" i="22"/>
  <c r="R31" i="22"/>
  <c r="FC19" i="1"/>
  <c r="FC18" i="1"/>
  <c r="FC17" i="1"/>
  <c r="FC16" i="1"/>
  <c r="FC13" i="1"/>
  <c r="FC11" i="1"/>
  <c r="AR46" i="1"/>
  <c r="AW46" i="1"/>
  <c r="FF26" i="1"/>
  <c r="FD27" i="1"/>
  <c r="CD71" i="1"/>
  <c r="CV71" i="1"/>
  <c r="BA70" i="1"/>
  <c r="AM70" i="1"/>
  <c r="BG71" i="1"/>
  <c r="AM71" i="1"/>
  <c r="AM72" i="1"/>
  <c r="BB72" i="1"/>
  <c r="BR72" i="1"/>
  <c r="AM73" i="1"/>
  <c r="H30" i="22"/>
  <c r="CJ110" i="1"/>
  <c r="N30" i="22"/>
  <c r="O30" i="22"/>
  <c r="EF110" i="1"/>
  <c r="R30" i="22"/>
  <c r="W109" i="1"/>
  <c r="CV70" i="1"/>
  <c r="BP110" i="1"/>
  <c r="W30" i="22"/>
  <c r="P32" i="22"/>
  <c r="J31" i="22"/>
  <c r="E30" i="22"/>
  <c r="BA97" i="1"/>
  <c r="U33" i="22"/>
  <c r="M32" i="22"/>
  <c r="T31" i="22"/>
  <c r="AB31" i="22" s="1"/>
  <c r="U31" i="22"/>
  <c r="FC22" i="1"/>
  <c r="W111" i="1"/>
  <c r="E31" i="22"/>
  <c r="BX70" i="1"/>
  <c r="C30" i="22"/>
  <c r="BG70" i="1"/>
  <c r="P33" i="22"/>
  <c r="Q32" i="22"/>
  <c r="DT110" i="1"/>
  <c r="I31" i="22"/>
  <c r="CJ111" i="1"/>
  <c r="N31" i="22"/>
  <c r="X31" i="22"/>
  <c r="V30" i="22"/>
  <c r="FC15" i="1"/>
  <c r="FC12" i="1"/>
  <c r="FC10" i="1"/>
  <c r="FF41" i="1"/>
  <c r="FD42" i="1"/>
  <c r="CH70" i="1"/>
  <c r="BR71" i="1"/>
  <c r="CZ70" i="1"/>
  <c r="DT71" i="1"/>
  <c r="AR72" i="1"/>
  <c r="BG72" i="1"/>
  <c r="BX72" i="1"/>
  <c r="BA110" i="1"/>
  <c r="I30" i="22"/>
  <c r="M30" i="22"/>
  <c r="DN110" i="1"/>
  <c r="X30" i="22"/>
  <c r="EF70" i="1"/>
  <c r="FC20" i="1"/>
  <c r="DN71" i="1"/>
  <c r="AH71" i="1"/>
  <c r="BK70" i="1"/>
  <c r="AW71" i="1"/>
  <c r="G30" i="22"/>
  <c r="D30" i="22"/>
  <c r="L30" i="22" s="1"/>
  <c r="K30" i="22"/>
  <c r="BF110" i="1"/>
  <c r="J30" i="22"/>
  <c r="U30" i="22"/>
  <c r="AB30" i="22" s="1"/>
  <c r="P30" i="22"/>
  <c r="F30" i="22"/>
  <c r="BY110" i="1"/>
  <c r="FC25" i="1"/>
  <c r="FC21" i="1"/>
  <c r="CN70" i="1"/>
  <c r="BX71" i="1"/>
  <c r="DF70" i="1"/>
  <c r="DX70" i="1"/>
  <c r="AQ70" i="1"/>
  <c r="AH72" i="1"/>
  <c r="AW72" i="1"/>
  <c r="BL72" i="1"/>
  <c r="T30" i="22"/>
  <c r="Q30" i="22"/>
  <c r="DZ110" i="1"/>
  <c r="S30" i="22"/>
  <c r="AC72" i="1"/>
  <c r="P35" i="22"/>
  <c r="P34" i="22"/>
  <c r="N35" i="22"/>
  <c r="N34" i="22"/>
  <c r="FD9" i="1"/>
  <c r="CD110" i="1"/>
  <c r="CE100" i="1"/>
  <c r="FD11" i="1"/>
  <c r="AG70" i="1"/>
  <c r="FB46" i="1"/>
  <c r="FF46" i="1"/>
  <c r="FD47" i="1"/>
  <c r="FD45" i="1"/>
  <c r="FD41" i="1"/>
  <c r="FF33" i="1"/>
  <c r="FD34" i="1"/>
  <c r="FF31" i="1"/>
  <c r="FD32" i="1"/>
  <c r="FF29" i="1"/>
  <c r="FD30" i="1"/>
  <c r="FF23" i="1"/>
  <c r="FD24" i="1"/>
  <c r="FF21" i="1"/>
  <c r="FD22" i="1"/>
  <c r="FF19" i="1"/>
  <c r="FD20" i="1"/>
  <c r="FF17" i="1"/>
  <c r="FD18" i="1"/>
  <c r="FF13" i="1"/>
  <c r="FD14" i="1"/>
  <c r="FF11" i="1"/>
  <c r="CF74" i="1"/>
  <c r="CD111" i="1"/>
  <c r="EH74" i="1"/>
  <c r="EF111" i="1"/>
  <c r="W110" i="1"/>
  <c r="BA111" i="1"/>
  <c r="BZ74" i="1"/>
  <c r="BY111" i="1"/>
  <c r="DP74" i="1"/>
  <c r="DN111" i="1"/>
  <c r="DZ111" i="1"/>
  <c r="EB74" i="1"/>
  <c r="AJ73" i="1"/>
  <c r="AG110" i="1"/>
  <c r="AY73" i="1"/>
  <c r="AW110" i="1"/>
  <c r="BN73" i="1"/>
  <c r="BK110" i="1"/>
  <c r="FF50" i="1"/>
  <c r="FD51" i="1"/>
  <c r="FF32" i="1"/>
  <c r="FF20" i="1"/>
  <c r="FF18" i="1"/>
  <c r="FD19" i="1"/>
  <c r="FF16" i="1"/>
  <c r="FD17" i="1"/>
  <c r="FF37" i="1"/>
  <c r="FD38" i="1"/>
  <c r="FF25" i="1"/>
  <c r="FD26" i="1"/>
  <c r="FD13" i="1"/>
  <c r="FF57" i="1"/>
  <c r="FD58" i="1"/>
  <c r="FF55" i="1"/>
  <c r="FD56" i="1"/>
  <c r="FF54" i="1"/>
  <c r="FD55" i="1"/>
  <c r="FF53" i="1"/>
  <c r="FD54" i="1"/>
  <c r="FF52" i="1"/>
  <c r="FD53" i="1"/>
  <c r="FF64" i="1"/>
  <c r="FF60" i="1"/>
  <c r="FD61" i="1"/>
  <c r="FF59" i="1"/>
  <c r="FD60" i="1"/>
  <c r="BP111" i="1"/>
  <c r="BT74" i="1"/>
  <c r="AT73" i="1"/>
  <c r="AQ110" i="1"/>
  <c r="DH111" i="1"/>
  <c r="DJ74" i="1"/>
  <c r="AE73" i="1"/>
  <c r="AB110" i="1"/>
  <c r="FD12" i="1"/>
  <c r="FF63" i="1"/>
  <c r="FD64" i="1"/>
  <c r="AJ46" i="1"/>
  <c r="AH47" i="1"/>
  <c r="FF70" i="1"/>
  <c r="X71" i="1"/>
  <c r="FF71" i="1"/>
  <c r="DB71" i="1"/>
  <c r="W70" i="1"/>
  <c r="CB70" i="1"/>
  <c r="BL71" i="1"/>
  <c r="DH71" i="1"/>
  <c r="CJ71" i="1"/>
  <c r="FD48" i="1"/>
  <c r="FD50" i="1"/>
  <c r="FF45" i="1"/>
  <c r="FD46" i="1"/>
  <c r="FD33" i="1"/>
  <c r="FD21" i="1"/>
  <c r="AM74" i="1"/>
  <c r="BI74" i="1"/>
  <c r="BD74" i="1"/>
  <c r="AY74" i="1"/>
  <c r="AT75" i="1"/>
  <c r="AR74" i="1"/>
  <c r="AO75" i="1"/>
  <c r="AJ74" i="1"/>
  <c r="Z74" i="1"/>
  <c r="B14" i="36"/>
  <c r="A14" i="36" s="1"/>
  <c r="B30" i="38"/>
  <c r="FD72" i="1"/>
  <c r="E32" i="22"/>
  <c r="C33" i="22"/>
  <c r="L33" i="22" s="1"/>
  <c r="AL111" i="1"/>
  <c r="CD70" i="1"/>
  <c r="W97" i="1"/>
  <c r="F31" i="22"/>
  <c r="AT74" i="1"/>
  <c r="AR75" i="1"/>
  <c r="C31" i="22"/>
  <c r="EF109" i="1"/>
  <c r="CD109" i="1"/>
  <c r="AV97" i="1"/>
  <c r="AG97" i="1"/>
  <c r="DZ109" i="1"/>
  <c r="BY109" i="1"/>
  <c r="AQ109" i="1"/>
  <c r="DR97" i="1"/>
  <c r="BP97" i="1"/>
  <c r="CW111" i="1"/>
  <c r="AL110" i="1"/>
  <c r="CW109" i="1"/>
  <c r="BA109" i="1"/>
  <c r="AL97" i="1"/>
  <c r="CT97" i="1"/>
  <c r="CQ111" i="1"/>
  <c r="AQ111" i="1"/>
  <c r="BG75" i="1"/>
  <c r="J32" i="22"/>
  <c r="BK97" i="1"/>
  <c r="D31" i="22"/>
  <c r="L31" i="22" s="1"/>
  <c r="T32" i="22"/>
  <c r="R32" i="22"/>
  <c r="BK109" i="1"/>
  <c r="G32" i="22"/>
  <c r="D32" i="22"/>
  <c r="CH97" i="1"/>
  <c r="K31" i="22"/>
  <c r="X32" i="22"/>
  <c r="CQ109" i="1"/>
  <c r="AW109" i="1"/>
  <c r="AR70" i="1"/>
  <c r="DH70" i="1"/>
  <c r="CP70" i="1"/>
  <c r="H32" i="22"/>
  <c r="DT111" i="1"/>
  <c r="O32" i="22"/>
  <c r="W32" i="22"/>
  <c r="G31" i="22"/>
  <c r="V32" i="22"/>
  <c r="AH70" i="1"/>
  <c r="H33" i="22"/>
  <c r="I32" i="22"/>
  <c r="DF97" i="1"/>
  <c r="CZ97" i="1"/>
  <c r="S32" i="22"/>
  <c r="AB109" i="1"/>
  <c r="DH109" i="1"/>
  <c r="BL70" i="1"/>
  <c r="DL97" i="1"/>
  <c r="DP97" i="1"/>
  <c r="DC109" i="1"/>
  <c r="BF109" i="1"/>
  <c r="ED97" i="1"/>
  <c r="DB70" i="1"/>
  <c r="CJ70" i="1"/>
  <c r="DH110" i="1"/>
  <c r="DT109" i="1"/>
  <c r="BP109" i="1"/>
  <c r="AL109" i="1"/>
  <c r="BF97" i="1"/>
  <c r="BB70" i="1"/>
  <c r="CB97" i="1"/>
  <c r="AB97" i="1"/>
  <c r="CJ109" i="1"/>
  <c r="DN109" i="1"/>
  <c r="AG109" i="1"/>
  <c r="DZ70" i="1"/>
  <c r="BV97" i="1"/>
  <c r="CQ110" i="1"/>
  <c r="P36" i="22"/>
  <c r="Q35" i="22"/>
  <c r="Q34" i="22"/>
  <c r="DP75" i="1"/>
  <c r="BD75" i="1"/>
  <c r="BB75" i="1"/>
  <c r="EB75" i="1"/>
  <c r="FB70" i="1"/>
  <c r="AE74" i="1"/>
  <c r="AB111" i="1"/>
  <c r="BN74" i="1"/>
  <c r="BK111" i="1"/>
  <c r="FD71" i="1"/>
  <c r="AH74" i="1"/>
  <c r="AM75" i="1"/>
  <c r="BG74" i="1"/>
  <c r="AW74" i="1"/>
  <c r="BI75" i="1"/>
  <c r="BD76" i="1"/>
  <c r="AY75" i="1"/>
  <c r="AO76" i="1"/>
  <c r="AJ75" i="1"/>
  <c r="Z75" i="1"/>
  <c r="B31" i="38"/>
  <c r="B15" i="36"/>
  <c r="A15" i="36" s="1"/>
  <c r="FF74" i="1"/>
  <c r="X76" i="1"/>
  <c r="G33" i="22"/>
  <c r="B33" i="38" s="1"/>
  <c r="BF111" i="1"/>
  <c r="AE75" i="1"/>
  <c r="AC75" i="1"/>
  <c r="F32" i="22"/>
  <c r="H34" i="22"/>
  <c r="I34" i="22"/>
  <c r="I33" i="22"/>
  <c r="C32" i="22"/>
  <c r="L32" i="22" s="1"/>
  <c r="D33" i="22"/>
  <c r="X33" i="22"/>
  <c r="C34" i="22"/>
  <c r="J33" i="22"/>
  <c r="AG111" i="1"/>
  <c r="BN75" i="1"/>
  <c r="K32" i="22"/>
  <c r="B16" i="36"/>
  <c r="A16" i="36" s="1"/>
  <c r="E33" i="22"/>
  <c r="AW111" i="1"/>
  <c r="S34" i="22"/>
  <c r="S33" i="22"/>
  <c r="FD70" i="1"/>
  <c r="FE109" i="1"/>
  <c r="X35" i="22"/>
  <c r="X34" i="22"/>
  <c r="S35" i="22"/>
  <c r="B19" i="36" s="1"/>
  <c r="A19" i="36" s="1"/>
  <c r="DV80" i="1"/>
  <c r="W34" i="22"/>
  <c r="BL75" i="1"/>
  <c r="BL76" i="1"/>
  <c r="AH75" i="1"/>
  <c r="AW75" i="1"/>
  <c r="BI76" i="1"/>
  <c r="BB76" i="1"/>
  <c r="AY76" i="1"/>
  <c r="AR76" i="1"/>
  <c r="AT77" i="1"/>
  <c r="AM76" i="1"/>
  <c r="AO77" i="1"/>
  <c r="H35" i="22"/>
  <c r="AJ76" i="1"/>
  <c r="X75" i="1"/>
  <c r="Z76" i="1"/>
  <c r="B32" i="38"/>
  <c r="AC76" i="1"/>
  <c r="BN76" i="1"/>
  <c r="K33" i="22"/>
  <c r="J34" i="22"/>
  <c r="E34" i="22"/>
  <c r="D34" i="22"/>
  <c r="G34" i="22"/>
  <c r="B34" i="38" s="1"/>
  <c r="FB74" i="1"/>
  <c r="AE76" i="1"/>
  <c r="F33" i="22"/>
  <c r="C36" i="22"/>
  <c r="L36" i="22" s="1"/>
  <c r="C35" i="22"/>
  <c r="I35" i="22"/>
  <c r="X36" i="22"/>
  <c r="S36" i="22"/>
  <c r="DV81" i="1"/>
  <c r="P38" i="22"/>
  <c r="W35" i="22"/>
  <c r="H36" i="22"/>
  <c r="AW76" i="1"/>
  <c r="BG76" i="1"/>
  <c r="AM77" i="1"/>
  <c r="BI77" i="1"/>
  <c r="J35" i="22"/>
  <c r="BB77" i="1"/>
  <c r="AY77" i="1"/>
  <c r="D35" i="22"/>
  <c r="AH76" i="1"/>
  <c r="AJ77" i="1"/>
  <c r="Z77" i="1"/>
  <c r="Q36" i="22"/>
  <c r="DD80" i="1"/>
  <c r="DD81" i="1"/>
  <c r="FF76" i="1"/>
  <c r="F34" i="22"/>
  <c r="K34" i="22"/>
  <c r="B18" i="36"/>
  <c r="A18" i="36" s="1"/>
  <c r="I36" i="22"/>
  <c r="G35" i="22"/>
  <c r="DP80" i="1"/>
  <c r="E35" i="22"/>
  <c r="L35" i="22" s="1"/>
  <c r="DV82" i="1"/>
  <c r="P39" i="22"/>
  <c r="W36" i="22"/>
  <c r="X77" i="1"/>
  <c r="AH77" i="1"/>
  <c r="BG77" i="1"/>
  <c r="AW77" i="1"/>
  <c r="D36" i="22"/>
  <c r="J36" i="22"/>
  <c r="Q38" i="22"/>
  <c r="BN77" i="1"/>
  <c r="BL77" i="1"/>
  <c r="AE77" i="1"/>
  <c r="AC77" i="1"/>
  <c r="DP81" i="1"/>
  <c r="X38" i="22"/>
  <c r="P40" i="22"/>
  <c r="DD82" i="1"/>
  <c r="Q39" i="22"/>
  <c r="BT80" i="1"/>
  <c r="E36" i="22"/>
  <c r="D37" i="22"/>
  <c r="G36" i="22"/>
  <c r="EB80" i="1"/>
  <c r="S38" i="22"/>
  <c r="B22" i="36"/>
  <c r="A22" i="36" s="1"/>
  <c r="F35" i="22"/>
  <c r="B35" i="38"/>
  <c r="F36" i="22"/>
  <c r="K36" i="22"/>
  <c r="B20" i="36"/>
  <c r="A20" i="36" s="1"/>
  <c r="K35" i="22"/>
  <c r="DP82" i="1"/>
  <c r="X39" i="22"/>
  <c r="DD83" i="1"/>
  <c r="Q40" i="22"/>
  <c r="BT81" i="1"/>
  <c r="W38" i="22"/>
  <c r="B36" i="38"/>
  <c r="EB81" i="1"/>
  <c r="EB82" i="1"/>
  <c r="DP83" i="1"/>
  <c r="DL84" i="1" s="1"/>
  <c r="DP84" i="1" s="1"/>
  <c r="X40" i="22"/>
  <c r="DD84" i="1"/>
  <c r="CZ85" i="1" s="1"/>
  <c r="DD85" i="1" s="1"/>
  <c r="Q41" i="22"/>
  <c r="W39" i="22"/>
  <c r="BT82" i="1"/>
  <c r="S39" i="22"/>
  <c r="S40" i="22"/>
  <c r="B24" i="36"/>
  <c r="A24" i="36" s="1"/>
  <c r="BT83" i="1"/>
  <c r="W41" i="22" s="1"/>
  <c r="W40" i="22"/>
  <c r="EB83" i="1"/>
  <c r="S41" i="22" s="1"/>
  <c r="A25" i="36" s="1"/>
  <c r="B23" i="36"/>
  <c r="A23" i="36" s="1"/>
  <c r="DJ75" i="1"/>
  <c r="O33" i="22"/>
  <c r="O34" i="22"/>
  <c r="O35" i="22"/>
  <c r="O36" i="22"/>
  <c r="CF75" i="1"/>
  <c r="DJ80" i="1"/>
  <c r="V33" i="22"/>
  <c r="V34" i="22"/>
  <c r="O38" i="22"/>
  <c r="DJ81" i="1"/>
  <c r="DJ82" i="1"/>
  <c r="O39" i="22"/>
  <c r="O40" i="22"/>
  <c r="V35" i="22"/>
  <c r="DJ83" i="1"/>
  <c r="DJ84" i="1" s="1"/>
  <c r="O41" i="22"/>
  <c r="DD73" i="1"/>
  <c r="FF73" i="1"/>
  <c r="FB73" i="1"/>
  <c r="FD74" i="1"/>
  <c r="Q31" i="22"/>
  <c r="FD73" i="1"/>
  <c r="DC110" i="1"/>
  <c r="EH75" i="1"/>
  <c r="DC111" i="1"/>
  <c r="R33" i="22"/>
  <c r="FE110" i="1"/>
  <c r="R34" i="22"/>
  <c r="FE111" i="1"/>
  <c r="R35" i="22"/>
  <c r="R36" i="22"/>
  <c r="FD75" i="1"/>
  <c r="BZ75" i="1"/>
  <c r="FF75" i="1"/>
  <c r="EH80" i="1"/>
  <c r="R38" i="22"/>
  <c r="T33" i="22"/>
  <c r="T34" i="22"/>
  <c r="EH81" i="1"/>
  <c r="FB75" i="1"/>
  <c r="EH82" i="1"/>
  <c r="R39" i="22"/>
  <c r="T35" i="22"/>
  <c r="R40" i="22"/>
  <c r="EH83" i="1"/>
  <c r="EH84" i="1" s="1"/>
  <c r="T36" i="22"/>
  <c r="BZ80" i="1"/>
  <c r="M34" i="22"/>
  <c r="AB34" i="22" s="1"/>
  <c r="T38" i="22"/>
  <c r="FD77" i="1"/>
  <c r="M35" i="22"/>
  <c r="M36" i="22"/>
  <c r="CR80" i="1"/>
  <c r="M38" i="22"/>
  <c r="CR81" i="1"/>
  <c r="FD76" i="1"/>
  <c r="CR82" i="1"/>
  <c r="CR83" i="1"/>
  <c r="CR84" i="1" s="1"/>
  <c r="M39" i="22"/>
  <c r="U34" i="22"/>
  <c r="M41" i="22"/>
  <c r="M40" i="22"/>
  <c r="U35" i="22"/>
  <c r="AB35" i="22"/>
  <c r="FF77" i="1"/>
  <c r="U36" i="22"/>
  <c r="V19" i="37"/>
  <c r="CX80" i="1"/>
  <c r="U38" i="22"/>
  <c r="V21" i="37"/>
  <c r="CX81" i="1"/>
  <c r="CX82" i="1"/>
  <c r="U39" i="22"/>
  <c r="CX83" i="1"/>
  <c r="CX84" i="1" s="1"/>
  <c r="U40" i="22"/>
  <c r="V24" i="37"/>
  <c r="V32" i="37"/>
  <c r="N36" i="22"/>
  <c r="CL80" i="1"/>
  <c r="N38" i="22"/>
  <c r="CL81" i="1"/>
  <c r="N39" i="22"/>
  <c r="CL82" i="1"/>
  <c r="N40" i="22"/>
  <c r="CL83" i="1"/>
  <c r="N41" i="22" s="1"/>
  <c r="V36" i="22"/>
  <c r="CF80" i="1"/>
  <c r="B21" i="36"/>
  <c r="A21" i="36" s="1"/>
  <c r="V38" i="22"/>
  <c r="CF81" i="1"/>
  <c r="V39" i="22"/>
  <c r="CF82" i="1"/>
  <c r="CF83" i="1"/>
  <c r="CF84" i="1" s="1"/>
  <c r="V40" i="22"/>
  <c r="V41" i="22"/>
  <c r="BZ81" i="1"/>
  <c r="T39" i="22"/>
  <c r="BZ82" i="1"/>
  <c r="FF82" i="1"/>
  <c r="T40" i="22"/>
  <c r="BZ83" i="1"/>
  <c r="BZ84" i="1" s="1"/>
  <c r="ET81" i="1"/>
  <c r="Z39" i="22"/>
  <c r="C23" i="39" l="1"/>
  <c r="C21" i="39"/>
  <c r="C13" i="39"/>
  <c r="C17" i="39"/>
  <c r="C19" i="39"/>
  <c r="C10" i="39"/>
  <c r="C14" i="39"/>
  <c r="C8" i="39"/>
  <c r="C20" i="39" s="1"/>
  <c r="C22" i="39" s="1"/>
  <c r="K13" i="39" s="1"/>
  <c r="C12" i="39"/>
  <c r="C11" i="39"/>
  <c r="C18" i="39"/>
  <c r="C16" i="39"/>
  <c r="C15" i="39"/>
  <c r="C7" i="39"/>
  <c r="C9" i="39"/>
  <c r="V28" i="37"/>
  <c r="V17" i="37"/>
  <c r="V11" i="37"/>
  <c r="V14" i="37"/>
  <c r="T12" i="37"/>
  <c r="S12" i="37" s="1"/>
  <c r="T22" i="37"/>
  <c r="S22" i="37" s="1"/>
  <c r="T15" i="37"/>
  <c r="S15" i="37" s="1"/>
  <c r="T19" i="37"/>
  <c r="S19" i="37" s="1"/>
  <c r="T8" i="37"/>
  <c r="S8" i="37" s="1"/>
  <c r="T20" i="37"/>
  <c r="S20" i="37" s="1"/>
  <c r="V35" i="37"/>
  <c r="V27" i="37"/>
  <c r="T21" i="37"/>
  <c r="S21" i="37" s="1"/>
  <c r="T16" i="37"/>
  <c r="S16" i="37" s="1"/>
  <c r="T10" i="37"/>
  <c r="S10" i="37" s="1"/>
  <c r="V5" i="37"/>
  <c r="V34" i="37"/>
  <c r="V30" i="37"/>
  <c r="V26" i="37"/>
  <c r="V22" i="37"/>
  <c r="T14" i="37"/>
  <c r="S14" i="37" s="1"/>
  <c r="T17" i="37"/>
  <c r="S17" i="37" s="1"/>
  <c r="T13" i="37"/>
  <c r="S13" i="37" s="1"/>
  <c r="T7" i="37"/>
  <c r="S7" i="37" s="1"/>
  <c r="V10" i="37"/>
  <c r="V7" i="37"/>
  <c r="V15" i="37"/>
  <c r="V31" i="37"/>
  <c r="V18" i="37"/>
  <c r="V8" i="37"/>
  <c r="V13" i="37"/>
  <c r="V33" i="37"/>
  <c r="V29" i="37"/>
  <c r="V25" i="37"/>
  <c r="V23" i="37"/>
  <c r="V20" i="37"/>
  <c r="V16" i="37"/>
  <c r="T18" i="37"/>
  <c r="S18" i="37" s="1"/>
  <c r="T9" i="37"/>
  <c r="S9" i="37" s="1"/>
  <c r="V12" i="37"/>
  <c r="V9" i="37"/>
  <c r="T5" i="37"/>
  <c r="T11" i="37"/>
  <c r="S11" i="37" s="1"/>
  <c r="EP85" i="1"/>
  <c r="ET85" i="1" s="1"/>
  <c r="EN84" i="1"/>
  <c r="EJ85" i="1" s="1"/>
  <c r="EN85" i="1" s="1"/>
  <c r="ED85" i="1"/>
  <c r="EH85" i="1" s="1"/>
  <c r="R42" i="22"/>
  <c r="R41" i="22"/>
  <c r="EB84" i="1"/>
  <c r="S42" i="22" s="1"/>
  <c r="X41" i="22"/>
  <c r="DL85" i="1"/>
  <c r="DP85" i="1" s="1"/>
  <c r="X42" i="22"/>
  <c r="DF85" i="1"/>
  <c r="DJ85" i="1" s="1"/>
  <c r="O42" i="22"/>
  <c r="Q43" i="22"/>
  <c r="CZ86" i="1"/>
  <c r="DD86" i="1" s="1"/>
  <c r="Q42" i="22"/>
  <c r="CT85" i="1"/>
  <c r="CX85" i="1" s="1"/>
  <c r="CT86" i="1" s="1"/>
  <c r="CX86" i="1" s="1"/>
  <c r="U42" i="22"/>
  <c r="U41" i="22"/>
  <c r="CN85" i="1"/>
  <c r="CR85" i="1" s="1"/>
  <c r="CN86" i="1" s="1"/>
  <c r="CR86" i="1" s="1"/>
  <c r="M42" i="22"/>
  <c r="AC4" i="41"/>
  <c r="CL84" i="1"/>
  <c r="N42" i="22" s="1"/>
  <c r="V42" i="22"/>
  <c r="CB85" i="1"/>
  <c r="CF85" i="1" s="1"/>
  <c r="V43" i="22" s="1"/>
  <c r="T42" i="22"/>
  <c r="BV85" i="1"/>
  <c r="BZ85" i="1" s="1"/>
  <c r="T41" i="22"/>
  <c r="H1" i="41"/>
  <c r="AF12" i="41" s="1"/>
  <c r="AC6" i="41"/>
  <c r="AC5" i="41"/>
  <c r="AC30" i="22"/>
  <c r="AD30" i="22"/>
  <c r="AC37" i="22"/>
  <c r="AD37" i="22"/>
  <c r="AC41" i="22"/>
  <c r="AC39" i="22"/>
  <c r="AD39" i="22"/>
  <c r="AC32" i="22"/>
  <c r="AD32" i="22"/>
  <c r="AD35" i="22"/>
  <c r="AC35" i="22"/>
  <c r="AC36" i="22"/>
  <c r="AD36" i="22"/>
  <c r="AC31" i="22"/>
  <c r="AD31" i="22"/>
  <c r="AD33" i="22"/>
  <c r="AC33" i="22"/>
  <c r="AD38" i="22"/>
  <c r="B17" i="36"/>
  <c r="A17" i="36" s="1"/>
  <c r="L34" i="22"/>
  <c r="AD40" i="22"/>
  <c r="AC19" i="41"/>
  <c r="R43" i="22"/>
  <c r="ED86" i="1"/>
  <c r="EH86" i="1" s="1"/>
  <c r="E1" i="41"/>
  <c r="AF9" i="41" s="1"/>
  <c r="AC31" i="41"/>
  <c r="AC42" i="41"/>
  <c r="DF86" i="1"/>
  <c r="DJ86" i="1" s="1"/>
  <c r="O43" i="22"/>
  <c r="J1" i="41"/>
  <c r="AF14" i="41" s="1"/>
  <c r="I1" i="41"/>
  <c r="AF13" i="41" s="1"/>
  <c r="Q44" i="22"/>
  <c r="CZ87" i="1"/>
  <c r="DD87" i="1" s="1"/>
  <c r="N1" i="41"/>
  <c r="AF18" i="41" s="1"/>
  <c r="U43" i="22"/>
  <c r="M1" i="41"/>
  <c r="AF17" i="41" s="1"/>
  <c r="G1" i="41"/>
  <c r="AF11" i="41" s="1"/>
  <c r="F1" i="41"/>
  <c r="AF10" i="41" s="1"/>
  <c r="D1" i="41"/>
  <c r="AF8" i="41" s="1"/>
  <c r="W1" i="41"/>
  <c r="AG14" i="41" s="1"/>
  <c r="K1" i="41"/>
  <c r="AF15" i="41" s="1"/>
  <c r="AC61" i="41"/>
  <c r="AC65" i="41"/>
  <c r="AC16" i="41"/>
  <c r="AC9" i="41"/>
  <c r="AC58" i="41"/>
  <c r="AC47" i="41"/>
  <c r="AC17" i="41"/>
  <c r="AC26" i="41"/>
  <c r="AC62" i="41"/>
  <c r="AC56" i="41"/>
  <c r="S1" i="41"/>
  <c r="AG10" i="41" s="1"/>
  <c r="Q1" i="41"/>
  <c r="AG21" i="41" s="1"/>
  <c r="O1" i="41"/>
  <c r="AG19" i="41" s="1"/>
  <c r="B1" i="41"/>
  <c r="AF6" i="41" s="1"/>
  <c r="AC51" i="41"/>
  <c r="AC57" i="41"/>
  <c r="AC13" i="41"/>
  <c r="T1" i="41"/>
  <c r="AG22" i="41" s="1"/>
  <c r="AC50" i="41"/>
  <c r="AC28" i="41"/>
  <c r="AC69" i="41"/>
  <c r="AC20" i="41"/>
  <c r="AC43" i="41"/>
  <c r="AC64" i="41"/>
  <c r="AA1" i="41"/>
  <c r="AC41" i="41"/>
  <c r="AC14" i="41"/>
  <c r="AC12" i="41"/>
  <c r="AC44" i="41"/>
  <c r="AC11" i="41"/>
  <c r="AC59" i="41"/>
  <c r="AC53" i="41"/>
  <c r="AC55" i="41"/>
  <c r="AC21" i="41"/>
  <c r="AC45" i="41"/>
  <c r="AC67" i="41"/>
  <c r="AC48" i="41"/>
  <c r="AC15" i="41"/>
  <c r="AC27" i="41"/>
  <c r="AC68" i="41"/>
  <c r="AC23" i="41"/>
  <c r="AC66" i="41"/>
  <c r="AC52" i="41"/>
  <c r="AC24" i="41"/>
  <c r="R1" i="41"/>
  <c r="AG11" i="41" s="1"/>
  <c r="P1" i="41"/>
  <c r="AG20" i="41" s="1"/>
  <c r="L1" i="41"/>
  <c r="AF16" i="41" s="1"/>
  <c r="Z1" i="41"/>
  <c r="AG17" i="41" s="1"/>
  <c r="Y1" i="41"/>
  <c r="AC63" i="41"/>
  <c r="AC22" i="41"/>
  <c r="V1" i="41"/>
  <c r="AG12" i="41" s="1"/>
  <c r="AC7" i="41"/>
  <c r="AC39" i="41"/>
  <c r="AC37" i="41"/>
  <c r="AC18" i="41"/>
  <c r="AC35" i="41"/>
  <c r="U1" i="41"/>
  <c r="AG16" i="41" s="1"/>
  <c r="AC54" i="41"/>
  <c r="AC40" i="41"/>
  <c r="AC49" i="41"/>
  <c r="AC29" i="41"/>
  <c r="AC25" i="41"/>
  <c r="AC46" i="41"/>
  <c r="AC32" i="41"/>
  <c r="AC10" i="41"/>
  <c r="AC38" i="41"/>
  <c r="AC34" i="41"/>
  <c r="AC60" i="41"/>
  <c r="AC33" i="41"/>
  <c r="AC36" i="41"/>
  <c r="AC8" i="41"/>
  <c r="AB1" i="41"/>
  <c r="X1" i="41"/>
  <c r="AG13" i="41" s="1"/>
  <c r="AC30" i="41"/>
  <c r="C1" i="41"/>
  <c r="AF7" i="41" s="1"/>
  <c r="DX85" i="1" l="1"/>
  <c r="EB85" i="1" s="1"/>
  <c r="DX86" i="1" s="1"/>
  <c r="EB86" i="1" s="1"/>
  <c r="CH85" i="1"/>
  <c r="CL85" i="1" s="1"/>
  <c r="CH86" i="1" s="1"/>
  <c r="CL86" i="1" s="1"/>
  <c r="EP86" i="1"/>
  <c r="ET86" i="1" s="1"/>
  <c r="Z43" i="22"/>
  <c r="Y42" i="22"/>
  <c r="Y43" i="22"/>
  <c r="EJ86" i="1"/>
  <c r="EN86" i="1" s="1"/>
  <c r="S43" i="22"/>
  <c r="DL86" i="1"/>
  <c r="DP86" i="1" s="1"/>
  <c r="X43" i="22"/>
  <c r="M43" i="22"/>
  <c r="CN87" i="1"/>
  <c r="CR87" i="1" s="1"/>
  <c r="M44" i="22"/>
  <c r="CB86" i="1"/>
  <c r="CF86" i="1" s="1"/>
  <c r="N43" i="22"/>
  <c r="T43" i="22"/>
  <c r="BV86" i="1"/>
  <c r="BZ86" i="1" s="1"/>
  <c r="AD34" i="22"/>
  <c r="AC34" i="22"/>
  <c r="R44" i="22"/>
  <c r="ED87" i="1"/>
  <c r="EH87" i="1" s="1"/>
  <c r="O44" i="22"/>
  <c r="DF87" i="1"/>
  <c r="DJ87" i="1" s="1"/>
  <c r="CZ88" i="1"/>
  <c r="DD88" i="1" s="1"/>
  <c r="Q45" i="22"/>
  <c r="U44" i="22"/>
  <c r="CT87" i="1"/>
  <c r="CX87" i="1" s="1"/>
  <c r="AG23" i="41"/>
  <c r="AF23" i="41"/>
  <c r="AC1" i="41"/>
  <c r="Z44" i="22" l="1"/>
  <c r="EP87" i="1"/>
  <c r="ET87" i="1" s="1"/>
  <c r="EJ87" i="1"/>
  <c r="EN87" i="1" s="1"/>
  <c r="Y44" i="22"/>
  <c r="DX87" i="1"/>
  <c r="EB87" i="1" s="1"/>
  <c r="S44" i="22"/>
  <c r="DL87" i="1"/>
  <c r="DP87" i="1" s="1"/>
  <c r="X44" i="22"/>
  <c r="M45" i="22"/>
  <c r="CN88" i="1"/>
  <c r="CR88" i="1" s="1"/>
  <c r="N44" i="22"/>
  <c r="CH87" i="1"/>
  <c r="CL87" i="1" s="1"/>
  <c r="T44" i="22"/>
  <c r="BV87" i="1"/>
  <c r="BZ87" i="1" s="1"/>
  <c r="R45" i="22"/>
  <c r="ED88" i="1"/>
  <c r="EH88" i="1" s="1"/>
  <c r="DF88" i="1"/>
  <c r="DJ88" i="1" s="1"/>
  <c r="O45" i="22"/>
  <c r="CZ89" i="1"/>
  <c r="DD89" i="1" s="1"/>
  <c r="Q46" i="22"/>
  <c r="CT88" i="1"/>
  <c r="CX88" i="1" s="1"/>
  <c r="U45" i="22"/>
  <c r="CB87" i="1"/>
  <c r="V44" i="22"/>
  <c r="Z45" i="22" l="1"/>
  <c r="EP88" i="1"/>
  <c r="ET88" i="1" s="1"/>
  <c r="Y45" i="22"/>
  <c r="EJ88" i="1"/>
  <c r="EN88" i="1" s="1"/>
  <c r="DX88" i="1"/>
  <c r="EB88" i="1" s="1"/>
  <c r="S45" i="22"/>
  <c r="X45" i="22"/>
  <c r="DL88" i="1"/>
  <c r="DP88" i="1" s="1"/>
  <c r="M46" i="22"/>
  <c r="CN89" i="1"/>
  <c r="CR89" i="1" s="1"/>
  <c r="CH88" i="1"/>
  <c r="CL88" i="1" s="1"/>
  <c r="N45" i="22"/>
  <c r="T45" i="22"/>
  <c r="BV88" i="1"/>
  <c r="BZ88" i="1" s="1"/>
  <c r="ED89" i="1"/>
  <c r="EH89" i="1" s="1"/>
  <c r="R46" i="22"/>
  <c r="DF89" i="1"/>
  <c r="DJ89" i="1" s="1"/>
  <c r="O46" i="22"/>
  <c r="CZ90" i="1"/>
  <c r="DD90" i="1" s="1"/>
  <c r="Q47" i="22"/>
  <c r="CT89" i="1"/>
  <c r="CX89" i="1" s="1"/>
  <c r="U46" i="22"/>
  <c r="CF87" i="1"/>
  <c r="EP89" i="1" l="1"/>
  <c r="ET89" i="1" s="1"/>
  <c r="Z46" i="22"/>
  <c r="EJ89" i="1"/>
  <c r="EN89" i="1" s="1"/>
  <c r="Y46" i="22"/>
  <c r="DX89" i="1"/>
  <c r="EB89" i="1" s="1"/>
  <c r="S46" i="22"/>
  <c r="X46" i="22"/>
  <c r="DL89" i="1"/>
  <c r="DP89" i="1" s="1"/>
  <c r="M47" i="22"/>
  <c r="CN90" i="1"/>
  <c r="CR90" i="1" s="1"/>
  <c r="CH89" i="1"/>
  <c r="CL89" i="1" s="1"/>
  <c r="N46" i="22"/>
  <c r="T46" i="22"/>
  <c r="BV89" i="1"/>
  <c r="BZ89" i="1" s="1"/>
  <c r="ED90" i="1"/>
  <c r="EH90" i="1" s="1"/>
  <c r="R47" i="22"/>
  <c r="DF90" i="1"/>
  <c r="DJ90" i="1" s="1"/>
  <c r="O47" i="22"/>
  <c r="CZ91" i="1"/>
  <c r="DD91" i="1" s="1"/>
  <c r="Q48" i="22"/>
  <c r="CT90" i="1"/>
  <c r="CX90" i="1" s="1"/>
  <c r="U47" i="22"/>
  <c r="V45" i="22"/>
  <c r="CB88" i="1"/>
  <c r="EP90" i="1" l="1"/>
  <c r="ET90" i="1" s="1"/>
  <c r="Z47" i="22"/>
  <c r="Y47" i="22"/>
  <c r="EJ90" i="1"/>
  <c r="EN90" i="1" s="1"/>
  <c r="S47" i="22"/>
  <c r="DX90" i="1"/>
  <c r="EB90" i="1" s="1"/>
  <c r="X47" i="22"/>
  <c r="DL90" i="1"/>
  <c r="DP90" i="1" s="1"/>
  <c r="CN91" i="1"/>
  <c r="CR91" i="1" s="1"/>
  <c r="M48" i="22"/>
  <c r="N47" i="22"/>
  <c r="CH90" i="1"/>
  <c r="CL90" i="1" s="1"/>
  <c r="T47" i="22"/>
  <c r="BV90" i="1"/>
  <c r="BZ90" i="1" s="1"/>
  <c r="ED91" i="1"/>
  <c r="EH91" i="1" s="1"/>
  <c r="R48" i="22"/>
  <c r="O48" i="22"/>
  <c r="DF91" i="1"/>
  <c r="DJ91" i="1" s="1"/>
  <c r="CZ92" i="1"/>
  <c r="DD92" i="1" s="1"/>
  <c r="Q49" i="22"/>
  <c r="U48" i="22"/>
  <c r="CT91" i="1"/>
  <c r="CX91" i="1" s="1"/>
  <c r="CF88" i="1"/>
  <c r="Z48" i="22" l="1"/>
  <c r="EP91" i="1"/>
  <c r="ET91" i="1" s="1"/>
  <c r="EJ91" i="1"/>
  <c r="EN91" i="1" s="1"/>
  <c r="Y48" i="22"/>
  <c r="S48" i="22"/>
  <c r="DX91" i="1"/>
  <c r="EB91" i="1" s="1"/>
  <c r="X48" i="22"/>
  <c r="DL91" i="1"/>
  <c r="DP91" i="1" s="1"/>
  <c r="CN92" i="1"/>
  <c r="CR92" i="1" s="1"/>
  <c r="M49" i="22"/>
  <c r="N48" i="22"/>
  <c r="CH91" i="1"/>
  <c r="CL91" i="1" s="1"/>
  <c r="T48" i="22"/>
  <c r="BV91" i="1"/>
  <c r="BZ91" i="1" s="1"/>
  <c r="R49" i="22"/>
  <c r="ED92" i="1"/>
  <c r="EH92" i="1" s="1"/>
  <c r="O49" i="22"/>
  <c r="DF92" i="1"/>
  <c r="DJ92" i="1" s="1"/>
  <c r="CZ93" i="1"/>
  <c r="DD93" i="1" s="1"/>
  <c r="Q50" i="22"/>
  <c r="CT92" i="1"/>
  <c r="CX92" i="1" s="1"/>
  <c r="U49" i="22"/>
  <c r="CB89" i="1"/>
  <c r="V46" i="22"/>
  <c r="EP92" i="1" l="1"/>
  <c r="ET92" i="1" s="1"/>
  <c r="Z49" i="22"/>
  <c r="Y49" i="22"/>
  <c r="EJ92" i="1"/>
  <c r="EN92" i="1" s="1"/>
  <c r="S49" i="22"/>
  <c r="DX92" i="1"/>
  <c r="EB92" i="1" s="1"/>
  <c r="DL92" i="1"/>
  <c r="DP92" i="1" s="1"/>
  <c r="X49" i="22"/>
  <c r="CN93" i="1"/>
  <c r="CR93" i="1" s="1"/>
  <c r="M50" i="22"/>
  <c r="N49" i="22"/>
  <c r="CH92" i="1"/>
  <c r="CL92" i="1" s="1"/>
  <c r="T49" i="22"/>
  <c r="BV92" i="1"/>
  <c r="BZ92" i="1" s="1"/>
  <c r="ED93" i="1"/>
  <c r="EH93" i="1" s="1"/>
  <c r="R50" i="22"/>
  <c r="DF93" i="1"/>
  <c r="DJ93" i="1" s="1"/>
  <c r="O50" i="22"/>
  <c r="CZ94" i="1"/>
  <c r="DD94" i="1" s="1"/>
  <c r="Q51" i="22"/>
  <c r="CT93" i="1"/>
  <c r="CX93" i="1" s="1"/>
  <c r="U50" i="22"/>
  <c r="CF89" i="1"/>
  <c r="EP93" i="1" l="1"/>
  <c r="ET93" i="1" s="1"/>
  <c r="Z50" i="22"/>
  <c r="EJ93" i="1"/>
  <c r="EN93" i="1" s="1"/>
  <c r="Y50" i="22"/>
  <c r="DX93" i="1"/>
  <c r="EB93" i="1" s="1"/>
  <c r="S50" i="22"/>
  <c r="X50" i="22"/>
  <c r="DL93" i="1"/>
  <c r="DP93" i="1" s="1"/>
  <c r="CN94" i="1"/>
  <c r="CR94" i="1" s="1"/>
  <c r="M51" i="22"/>
  <c r="CH93" i="1"/>
  <c r="CL93" i="1" s="1"/>
  <c r="N50" i="22"/>
  <c r="BV93" i="1"/>
  <c r="BZ93" i="1" s="1"/>
  <c r="T50" i="22"/>
  <c r="ED94" i="1"/>
  <c r="EH94" i="1" s="1"/>
  <c r="R51" i="22"/>
  <c r="DF94" i="1"/>
  <c r="DJ94" i="1" s="1"/>
  <c r="O51" i="22"/>
  <c r="CZ95" i="1"/>
  <c r="DD95" i="1" s="1"/>
  <c r="Q52" i="22"/>
  <c r="U51" i="22"/>
  <c r="CT94" i="1"/>
  <c r="CX94" i="1" s="1"/>
  <c r="CB90" i="1"/>
  <c r="V47" i="22"/>
  <c r="EP94" i="1" l="1"/>
  <c r="ET94" i="1" s="1"/>
  <c r="Z51" i="22"/>
  <c r="Y51" i="22"/>
  <c r="EJ94" i="1"/>
  <c r="EN94" i="1" s="1"/>
  <c r="S51" i="22"/>
  <c r="DX94" i="1"/>
  <c r="EB94" i="1" s="1"/>
  <c r="X51" i="22"/>
  <c r="DL94" i="1"/>
  <c r="DP94" i="1" s="1"/>
  <c r="CN95" i="1"/>
  <c r="CR95" i="1" s="1"/>
  <c r="M52" i="22"/>
  <c r="CH94" i="1"/>
  <c r="CL94" i="1" s="1"/>
  <c r="N51" i="22"/>
  <c r="BV94" i="1"/>
  <c r="BZ94" i="1" s="1"/>
  <c r="T51" i="22"/>
  <c r="R52" i="22"/>
  <c r="ED95" i="1"/>
  <c r="EH95" i="1" s="1"/>
  <c r="DF95" i="1"/>
  <c r="DJ95" i="1" s="1"/>
  <c r="O52" i="22"/>
  <c r="CZ96" i="1"/>
  <c r="DD96" i="1" s="1"/>
  <c r="Q53" i="22"/>
  <c r="CT95" i="1"/>
  <c r="CX95" i="1" s="1"/>
  <c r="U52" i="22"/>
  <c r="CF90" i="1"/>
  <c r="Z52" i="22" l="1"/>
  <c r="EP95" i="1"/>
  <c r="ET95" i="1" s="1"/>
  <c r="EJ95" i="1"/>
  <c r="EN95" i="1" s="1"/>
  <c r="Y52" i="22"/>
  <c r="S52" i="22"/>
  <c r="DX95" i="1"/>
  <c r="EB95" i="1" s="1"/>
  <c r="DL95" i="1"/>
  <c r="DP95" i="1" s="1"/>
  <c r="X52" i="22"/>
  <c r="CN96" i="1"/>
  <c r="CR96" i="1" s="1"/>
  <c r="M53" i="22"/>
  <c r="CH95" i="1"/>
  <c r="CL95" i="1" s="1"/>
  <c r="N52" i="22"/>
  <c r="BV95" i="1"/>
  <c r="BZ95" i="1" s="1"/>
  <c r="T52" i="22"/>
  <c r="ED96" i="1"/>
  <c r="EH96" i="1" s="1"/>
  <c r="R53" i="22"/>
  <c r="O53" i="22"/>
  <c r="DF96" i="1"/>
  <c r="DJ96" i="1" s="1"/>
  <c r="U53" i="22"/>
  <c r="CT96" i="1"/>
  <c r="CX96" i="1" s="1"/>
  <c r="V48" i="22"/>
  <c r="CB91" i="1"/>
  <c r="Z53" i="22" l="1"/>
  <c r="EP96" i="1"/>
  <c r="ET96" i="1" s="1"/>
  <c r="Z54" i="22" s="1"/>
  <c r="Y53" i="22"/>
  <c r="EJ96" i="1"/>
  <c r="EN96" i="1" s="1"/>
  <c r="Y54" i="22" s="1"/>
  <c r="DX96" i="1"/>
  <c r="EB96" i="1" s="1"/>
  <c r="S53" i="22"/>
  <c r="DL96" i="1"/>
  <c r="DP96" i="1" s="1"/>
  <c r="X53" i="22"/>
  <c r="CH96" i="1"/>
  <c r="CL96" i="1" s="1"/>
  <c r="N53" i="22"/>
  <c r="T53" i="22"/>
  <c r="BV96" i="1"/>
  <c r="BZ96" i="1" s="1"/>
  <c r="CF91" i="1"/>
  <c r="CB92" i="1" l="1"/>
  <c r="V49" i="22"/>
  <c r="CF92" i="1" l="1"/>
  <c r="V50" i="22" l="1"/>
  <c r="CB93" i="1"/>
  <c r="CF93" i="1" l="1"/>
  <c r="V51" i="22" l="1"/>
  <c r="CB94" i="1"/>
  <c r="CF94" i="1" l="1"/>
  <c r="CB95" i="1" l="1"/>
  <c r="V52" i="22"/>
  <c r="CF95" i="1" l="1"/>
  <c r="CB96" i="1" l="1"/>
  <c r="V53" i="22"/>
  <c r="CF96" i="1" l="1"/>
  <c r="FB83" i="1" l="1"/>
  <c r="DT83" i="1"/>
  <c r="FD83" i="1" s="1"/>
  <c r="DV83" i="1"/>
  <c r="P41" i="22" s="1"/>
  <c r="AD41" i="22" l="1"/>
  <c r="T23" i="37"/>
  <c r="S23" i="37" s="1"/>
  <c r="DV84" i="1" l="1"/>
  <c r="P42" i="22" l="1"/>
  <c r="DR85" i="1"/>
  <c r="DV85" i="1" l="1"/>
  <c r="T24" i="37"/>
  <c r="S24" i="37" s="1"/>
  <c r="P43" i="22" l="1"/>
  <c r="DR86" i="1"/>
  <c r="T25" i="37" l="1"/>
  <c r="S25" i="37" s="1"/>
  <c r="DV86" i="1"/>
  <c r="P44" i="22" l="1"/>
  <c r="DR87" i="1"/>
  <c r="DV87" i="1" l="1"/>
  <c r="T26" i="37"/>
  <c r="S26" i="37" s="1"/>
  <c r="P45" i="22" l="1"/>
  <c r="DR88" i="1"/>
  <c r="DV88" i="1" l="1"/>
  <c r="T27" i="37"/>
  <c r="S27" i="37" s="1"/>
  <c r="P46" i="22" l="1"/>
  <c r="DR89" i="1"/>
  <c r="T28" i="37" l="1"/>
  <c r="S28" i="37" s="1"/>
  <c r="DV89" i="1"/>
  <c r="P47" i="22" l="1"/>
  <c r="DR90" i="1"/>
  <c r="DV90" i="1" l="1"/>
  <c r="T29" i="37"/>
  <c r="S29" i="37" s="1"/>
  <c r="DR91" i="1" l="1"/>
  <c r="P48" i="22"/>
  <c r="DV91" i="1" l="1"/>
  <c r="T30" i="37"/>
  <c r="S30" i="37" s="1"/>
  <c r="P49" i="22" l="1"/>
  <c r="DR92" i="1"/>
  <c r="T31" i="37" l="1"/>
  <c r="S31" i="37" s="1"/>
  <c r="DV92" i="1"/>
  <c r="P50" i="22" l="1"/>
  <c r="DR93" i="1"/>
  <c r="DV93" i="1" l="1"/>
  <c r="T32" i="37"/>
  <c r="S32" i="37" s="1"/>
  <c r="P51" i="22" l="1"/>
  <c r="DR94" i="1"/>
  <c r="DV94" i="1" l="1"/>
  <c r="T33" i="37"/>
  <c r="S33" i="37" s="1"/>
  <c r="DR95" i="1" l="1"/>
  <c r="P52" i="22"/>
  <c r="T34" i="37" l="1"/>
  <c r="S34" i="37" s="1"/>
  <c r="DV95" i="1"/>
  <c r="DR96" i="1" l="1"/>
  <c r="P53" i="22"/>
  <c r="T35" i="37" l="1"/>
  <c r="S35" i="37" s="1"/>
  <c r="DV96" i="1"/>
  <c r="FD84" i="1" l="1"/>
  <c r="BT84" i="1"/>
  <c r="W42" i="22" l="1"/>
  <c r="AB42" i="22" s="1"/>
  <c r="BP85" i="1"/>
  <c r="FB84" i="1"/>
  <c r="AD42" i="22" l="1"/>
  <c r="B26" i="36"/>
  <c r="A26" i="36" s="1"/>
  <c r="BT85" i="1"/>
  <c r="FB85" i="1"/>
  <c r="W43" i="22" l="1"/>
  <c r="AB43" i="22" s="1"/>
  <c r="FF85" i="1"/>
  <c r="BP86" i="1"/>
  <c r="BT86" i="1" l="1"/>
  <c r="FB86" i="1"/>
  <c r="B27" i="36"/>
  <c r="A27" i="36" s="1"/>
  <c r="AD43" i="22"/>
  <c r="FF86" i="1" l="1"/>
  <c r="W44" i="22"/>
  <c r="AB44" i="22" s="1"/>
  <c r="BP87" i="1"/>
  <c r="AD44" i="22" l="1"/>
  <c r="B28" i="36"/>
  <c r="A28" i="36" s="1"/>
  <c r="FB87" i="1"/>
  <c r="BT87" i="1"/>
  <c r="BP88" i="1" l="1"/>
  <c r="FF87" i="1"/>
  <c r="W45" i="22"/>
  <c r="AB45" i="22" s="1"/>
  <c r="B29" i="36" l="1"/>
  <c r="A29" i="36" s="1"/>
  <c r="AD45" i="22"/>
  <c r="BT88" i="1"/>
  <c r="FB88" i="1"/>
  <c r="FF88" i="1" l="1"/>
  <c r="BP89" i="1"/>
  <c r="W46" i="22"/>
  <c r="AB46" i="22" s="1"/>
  <c r="AD46" i="22" l="1"/>
  <c r="B30" i="36"/>
  <c r="A30" i="36" s="1"/>
  <c r="FB89" i="1"/>
  <c r="BT89" i="1"/>
  <c r="BP90" i="1" l="1"/>
  <c r="FF89" i="1"/>
  <c r="W47" i="22"/>
  <c r="AB47" i="22" s="1"/>
  <c r="B31" i="36" l="1"/>
  <c r="A31" i="36" s="1"/>
  <c r="AD47" i="22"/>
  <c r="FB90" i="1"/>
  <c r="BT90" i="1"/>
  <c r="BP91" i="1" l="1"/>
  <c r="W48" i="22"/>
  <c r="AB48" i="22" s="1"/>
  <c r="FF90" i="1"/>
  <c r="AD48" i="22" l="1"/>
  <c r="B32" i="36"/>
  <c r="A32" i="36" s="1"/>
  <c r="FB91" i="1"/>
  <c r="BT91" i="1"/>
  <c r="BP92" i="1" l="1"/>
  <c r="W49" i="22"/>
  <c r="AB49" i="22" s="1"/>
  <c r="FF91" i="1"/>
  <c r="AD49" i="22" l="1"/>
  <c r="B33" i="36"/>
  <c r="A33" i="36" s="1"/>
  <c r="BT92" i="1"/>
  <c r="FB92" i="1"/>
  <c r="FF92" i="1" l="1"/>
  <c r="W50" i="22"/>
  <c r="AB50" i="22" s="1"/>
  <c r="BP93" i="1"/>
  <c r="FB93" i="1" l="1"/>
  <c r="BT93" i="1"/>
  <c r="B34" i="36"/>
  <c r="A34" i="36" s="1"/>
  <c r="AD50" i="22"/>
  <c r="W51" i="22" l="1"/>
  <c r="AB51" i="22" s="1"/>
  <c r="FF93" i="1"/>
  <c r="BP94" i="1"/>
  <c r="BT94" i="1" l="1"/>
  <c r="FB94" i="1"/>
  <c r="B35" i="36"/>
  <c r="A35" i="36" s="1"/>
  <c r="AD51" i="22"/>
  <c r="FF94" i="1" l="1"/>
  <c r="BP95" i="1"/>
  <c r="W52" i="22"/>
  <c r="AB52" i="22" s="1"/>
  <c r="BT95" i="1" l="1"/>
  <c r="FB95" i="1"/>
  <c r="AD52" i="22"/>
  <c r="B36" i="36"/>
  <c r="A36" i="36" s="1"/>
  <c r="BP96" i="1" l="1"/>
  <c r="FF95" i="1"/>
  <c r="W53" i="22"/>
  <c r="AB53" i="22" s="1"/>
  <c r="AD53" i="22" l="1"/>
  <c r="B37" i="36"/>
  <c r="A37" i="36" s="1"/>
  <c r="BT96" i="1"/>
  <c r="FF96" i="1" s="1"/>
  <c r="FB96" i="1"/>
</calcChain>
</file>

<file path=xl/comments1.xml><?xml version="1.0" encoding="utf-8"?>
<comments xmlns="http://schemas.openxmlformats.org/spreadsheetml/2006/main">
  <authors>
    <author>Planeacion</author>
  </authors>
  <commentList>
    <comment ref="BP70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decia 89</t>
        </r>
      </text>
    </comment>
    <comment ref="DE75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Se programo 80 y el resultado del semestre cero se incremento NI
</t>
        </r>
      </text>
    </comment>
  </commentList>
</comments>
</file>

<file path=xl/sharedStrings.xml><?xml version="1.0" encoding="utf-8"?>
<sst xmlns="http://schemas.openxmlformats.org/spreadsheetml/2006/main" count="689" uniqueCount="273">
  <si>
    <t>INSTITUTO TECNOLOGICO DE MEXICALI</t>
  </si>
  <si>
    <t>PROYECCION DE LA POBLACION ESCOLAR</t>
  </si>
  <si>
    <t>ING. IND. MECANICA</t>
  </si>
  <si>
    <t>ING. IND. ELECTRONICA</t>
  </si>
  <si>
    <t>ING. ELECTRICA EN CONTRL.</t>
  </si>
  <si>
    <t>ING. IND. QUIMICA</t>
  </si>
  <si>
    <t>INGENIERIA ELECTRONICA</t>
  </si>
  <si>
    <t>INGENIERIA ELECTRICA</t>
  </si>
  <si>
    <t>INGENIERIA INDUSTRIAL</t>
  </si>
  <si>
    <t>INGENIERIA MECANICA</t>
  </si>
  <si>
    <t>LICENCIATURA EN CONTAD.</t>
  </si>
  <si>
    <t>INGENIERIA QUIMICA</t>
  </si>
  <si>
    <t>TOTALES</t>
  </si>
  <si>
    <t>N I</t>
  </si>
  <si>
    <t>RI</t>
  </si>
  <si>
    <t>DE</t>
  </si>
  <si>
    <t>EG</t>
  </si>
  <si>
    <t>Total</t>
  </si>
  <si>
    <t>Oct-Dic 1981</t>
  </si>
  <si>
    <t>Feb-Jun 1982</t>
  </si>
  <si>
    <t>Ago-Dic 1982</t>
  </si>
  <si>
    <t>Feb-Jun 1983</t>
  </si>
  <si>
    <t>Ago-Dic 1983</t>
  </si>
  <si>
    <t>Feb-Jun 1984</t>
  </si>
  <si>
    <t>Ago-Dic 1984</t>
  </si>
  <si>
    <t>Feb-Jun 1985</t>
  </si>
  <si>
    <t>Ago-Dic 1985</t>
  </si>
  <si>
    <t>Feb-Jun 1986</t>
  </si>
  <si>
    <t>Ago-Dic 1986</t>
  </si>
  <si>
    <t>Feb-Jun 1987</t>
  </si>
  <si>
    <t>Ago-Dic 1987</t>
  </si>
  <si>
    <t>Feb-Jun 1988</t>
  </si>
  <si>
    <t>Ago-Dic 1988</t>
  </si>
  <si>
    <t>Feb-Jun 1989</t>
  </si>
  <si>
    <t>Ago-Dic 1989</t>
  </si>
  <si>
    <t>Feb-Jun 1990</t>
  </si>
  <si>
    <t>Ago-Dic 1990</t>
  </si>
  <si>
    <t>Feb-Jun 1991</t>
  </si>
  <si>
    <t>Ago-Dic 1991</t>
  </si>
  <si>
    <t>Feb-Jun 1992</t>
  </si>
  <si>
    <t>Ago-Dic 1992</t>
  </si>
  <si>
    <t>Feb-Jun 1993</t>
  </si>
  <si>
    <t>Ago-Dic 1993</t>
  </si>
  <si>
    <t>Feb-Jun 1994</t>
  </si>
  <si>
    <t>Ago-Dic 1994</t>
  </si>
  <si>
    <t>Feb-Jun 1995</t>
  </si>
  <si>
    <t>Ago-Dic 1995</t>
  </si>
  <si>
    <t>Feb-Jun 1996</t>
  </si>
  <si>
    <t>Ago-Dic 1996</t>
  </si>
  <si>
    <t>Feb-Jun 1997</t>
  </si>
  <si>
    <t>Ago-Dic 1997</t>
  </si>
  <si>
    <t>Feb-Jun 1998</t>
  </si>
  <si>
    <t>Ago-Dic 1998</t>
  </si>
  <si>
    <t>Feb-Jun 1999</t>
  </si>
  <si>
    <t>Ago-Dic 1999</t>
  </si>
  <si>
    <t>Feb-Jun 2000</t>
  </si>
  <si>
    <t>Ago-Dic 2000</t>
  </si>
  <si>
    <t>Feb-Jun 2001</t>
  </si>
  <si>
    <t>Ago-Dic 2001</t>
  </si>
  <si>
    <t>Feb-Jun 2002</t>
  </si>
  <si>
    <t>Ago-Dic 2002</t>
  </si>
  <si>
    <t>Feb-Jun 2003</t>
  </si>
  <si>
    <t>Ago-Dic 2003</t>
  </si>
  <si>
    <t>Feb-Jun 2004</t>
  </si>
  <si>
    <t>Ago-Dic 2004</t>
  </si>
  <si>
    <t>Feb-Jun 2005</t>
  </si>
  <si>
    <t>Ago-Dic 2005</t>
  </si>
  <si>
    <t>Feb-Jun 2006</t>
  </si>
  <si>
    <t>Ago-Dic 2006</t>
  </si>
  <si>
    <t xml:space="preserve">           - Las cantidades del nuevo ingreso es la oferta que se ha venido manejando hasta el momento</t>
  </si>
  <si>
    <r>
      <t>Nota</t>
    </r>
    <r>
      <rPr>
        <sz val="8"/>
        <rFont val="Arial"/>
        <family val="2"/>
      </rPr>
      <t>:  - Las cantidades que se encuentran subrayadas son datos estimados y establecidos como constante</t>
    </r>
  </si>
  <si>
    <t>DE (Deserción) calculada en base al promedio de los 4 semestres anteriores</t>
  </si>
  <si>
    <t>RI (ReIngreso) calculado de la diferencia del TOTAL del sem. Anterior - EG - DE calculada</t>
  </si>
  <si>
    <t>Departamento de Planeación     10/Abr/2003</t>
  </si>
  <si>
    <t>INGENIERIA MECATRONICA</t>
  </si>
  <si>
    <t>Feb-Jun 2007</t>
  </si>
  <si>
    <t>Ago-Dic 2007</t>
  </si>
  <si>
    <t>Feb-Jun 2008</t>
  </si>
  <si>
    <t>Ago-Dic 2008</t>
  </si>
  <si>
    <t>Feb-Jun 2009</t>
  </si>
  <si>
    <t>Ago-Dic 2009</t>
  </si>
  <si>
    <t>Feb-Jun 2010</t>
  </si>
  <si>
    <t>Ago-Dic 2010</t>
  </si>
  <si>
    <t>Feb-Jun 2011</t>
  </si>
  <si>
    <t>Ago-Dic 2011</t>
  </si>
  <si>
    <t>Feb-Jun 2012</t>
  </si>
  <si>
    <t>Ago-Dic 2012</t>
  </si>
  <si>
    <t>ING. EN GESTION EMPRESARIAL</t>
  </si>
  <si>
    <t>INGENIERIA EN LOGISTICA</t>
  </si>
  <si>
    <t>CONTADOR PUBLICO</t>
  </si>
  <si>
    <t>INGENIERIA EN INFORMATICA</t>
  </si>
  <si>
    <t>Desc x carr</t>
  </si>
  <si>
    <t>Feb-Jun 2013</t>
  </si>
  <si>
    <t>Ago-Dic 2013</t>
  </si>
  <si>
    <t>Feb-Jun 2014</t>
  </si>
  <si>
    <t>Feb-Jun 2015</t>
  </si>
  <si>
    <t>Ago-Dic 2014</t>
  </si>
  <si>
    <t>AGO-DIC 2012</t>
  </si>
  <si>
    <t>Ago-Dic 2015</t>
  </si>
  <si>
    <t>Feb-Jun 2016</t>
  </si>
  <si>
    <t>Ago-Dic 2016</t>
  </si>
  <si>
    <t>Feb-Jun 2017</t>
  </si>
  <si>
    <t>Ago-Dic 2017</t>
  </si>
  <si>
    <t>Feb-Jun 2018</t>
  </si>
  <si>
    <t>Ago-Dic 2018</t>
  </si>
  <si>
    <t>ING EN ENERGIAS RENOVABLES</t>
  </si>
  <si>
    <t xml:space="preserve">TOTAL </t>
  </si>
  <si>
    <t>CP</t>
  </si>
  <si>
    <t>GE</t>
  </si>
  <si>
    <t>ING</t>
  </si>
  <si>
    <t>ING. ELECTRONICA</t>
  </si>
  <si>
    <t>ING. ELECTRICA</t>
  </si>
  <si>
    <t>ING. INDUSTRIAL</t>
  </si>
  <si>
    <t>ING. MECANICA</t>
  </si>
  <si>
    <t>ING. QUIMICA</t>
  </si>
  <si>
    <t>ING. MECATRONICA</t>
  </si>
  <si>
    <t>ING. EN LOGISTICA</t>
  </si>
  <si>
    <t>ING. EN INFORMATICA</t>
  </si>
  <si>
    <t>PERIODO</t>
  </si>
  <si>
    <t>ENE-JUN 2013</t>
  </si>
  <si>
    <t>AGO-DIC 2013</t>
  </si>
  <si>
    <t>ENE-JUN 2014</t>
  </si>
  <si>
    <t>1´14</t>
  </si>
  <si>
    <t>1´12</t>
  </si>
  <si>
    <t>2´12</t>
  </si>
  <si>
    <t>1´13</t>
  </si>
  <si>
    <t>1´15</t>
  </si>
  <si>
    <t>1´16</t>
  </si>
  <si>
    <t>1´18</t>
  </si>
  <si>
    <t>2´14</t>
  </si>
  <si>
    <t>2´15</t>
  </si>
  <si>
    <t>2´17</t>
  </si>
  <si>
    <t>2´18</t>
  </si>
  <si>
    <t>ESTADISTICA DE CARRERAS ACTUALES Y LIQUIDACION A ENE-JUN 2015
Y PROYECCION A AGO-DIC 2018</t>
  </si>
  <si>
    <t>Feb-Jun 2019</t>
  </si>
  <si>
    <t>Feb-Jun 2020</t>
  </si>
  <si>
    <t>Feb-Jun 2021</t>
  </si>
  <si>
    <t>Feb-Jun 2022</t>
  </si>
  <si>
    <t>Feb-Jun 2023</t>
  </si>
  <si>
    <t>Feb-Jun 2024</t>
  </si>
  <si>
    <t>Feb-Jun 2025</t>
  </si>
  <si>
    <t>Ago-Dic 2019</t>
  </si>
  <si>
    <t>Ago-Dic 2020</t>
  </si>
  <si>
    <t>Ago-Dic 2021</t>
  </si>
  <si>
    <t>Ago-Dic 2022</t>
  </si>
  <si>
    <t>Ago-Dic 2023</t>
  </si>
  <si>
    <t>Ago-Dic 2024</t>
  </si>
  <si>
    <t>Ago-Dic 2025</t>
  </si>
  <si>
    <t>1´19</t>
  </si>
  <si>
    <t>2´19</t>
  </si>
  <si>
    <t>1´20</t>
  </si>
  <si>
    <t>2´20</t>
  </si>
  <si>
    <t>1´21</t>
  </si>
  <si>
    <t>2´21</t>
  </si>
  <si>
    <t>1´22</t>
  </si>
  <si>
    <t>2´22</t>
  </si>
  <si>
    <t>1´23</t>
  </si>
  <si>
    <t>2´23</t>
  </si>
  <si>
    <t>1´24</t>
  </si>
  <si>
    <t>2´24</t>
  </si>
  <si>
    <t>1´25</t>
  </si>
  <si>
    <t>2´25</t>
  </si>
  <si>
    <t xml:space="preserve"> 2´11</t>
  </si>
  <si>
    <t xml:space="preserve"> 1´11</t>
  </si>
  <si>
    <t xml:space="preserve"> 2´10</t>
  </si>
  <si>
    <t>2´16</t>
  </si>
  <si>
    <t>CARRERA</t>
  </si>
  <si>
    <t>CONTADOR PÚBLICO</t>
  </si>
  <si>
    <t>Feb-Jun 2026</t>
  </si>
  <si>
    <t>Ago-Dic 2026</t>
  </si>
  <si>
    <t>Feb-Jun 2027</t>
  </si>
  <si>
    <t>Ago-Dic 2027</t>
  </si>
  <si>
    <t>Feb-Jun 2028</t>
  </si>
  <si>
    <t>Ago-Dic 2028</t>
  </si>
  <si>
    <t>Feb-Jun 2029</t>
  </si>
  <si>
    <t>Ago-Dic 2029</t>
  </si>
  <si>
    <t>Feb-Jun 2030</t>
  </si>
  <si>
    <t>Ago-Dic 2030</t>
  </si>
  <si>
    <t>Feb-Jun 2031</t>
  </si>
  <si>
    <t>Ago-Dic 2031</t>
  </si>
  <si>
    <t>Feb-Jun 2032</t>
  </si>
  <si>
    <t>Ago-Dic 2032</t>
  </si>
  <si>
    <t>Feb-Jun 2033</t>
  </si>
  <si>
    <t>Ago-Dic 2033</t>
  </si>
  <si>
    <t>Feb-Jun 2034</t>
  </si>
  <si>
    <t>POBLACIÓN TOTAL</t>
  </si>
  <si>
    <t>Período</t>
  </si>
  <si>
    <t>DE INDUSTRIAL</t>
  </si>
  <si>
    <t>DE ELÉCTRICA ELECTRÓNICA</t>
  </si>
  <si>
    <t>DE CS.ECONÓMICO ADMINISTRATIVAS</t>
  </si>
  <si>
    <t>DEPARTAMENTO</t>
  </si>
  <si>
    <t xml:space="preserve">GRAFICAS DE CRECIMIENTO </t>
  </si>
  <si>
    <t>INGENIERIA EN SISTEMAS COMPUTACIONALES</t>
  </si>
  <si>
    <t>LICENCIATURA EN INFORMATICA</t>
  </si>
  <si>
    <t>ING EN SISTEMAS COMPUTACIONALES</t>
  </si>
  <si>
    <t>ING. EN SISTEMAS COMPUTACIONALES</t>
  </si>
  <si>
    <t>ING. EN SISTEMAS  COMPUTACIONALES</t>
  </si>
  <si>
    <t>DE SISTEMAS COMPUTACIONALES</t>
  </si>
  <si>
    <t>Histórico a Feb-Jun 2015   Proyectado a Feb-Jun al 2025</t>
  </si>
  <si>
    <t>Población esperada por semestre</t>
  </si>
  <si>
    <t>Grupos a abrir por semestre (Proyectado)</t>
  </si>
  <si>
    <t>PERÍODO</t>
  </si>
  <si>
    <t>EQ</t>
  </si>
  <si>
    <t>ING. MECATRÓNICA</t>
  </si>
  <si>
    <t>ING. QUÍMICA</t>
  </si>
  <si>
    <t>ING. MECÁNICA</t>
  </si>
  <si>
    <t>ING. ELÉCTRICA</t>
  </si>
  <si>
    <t>ING. ELECTRÓNICA</t>
  </si>
  <si>
    <t>POR</t>
  </si>
  <si>
    <t>seleccionar para elegir carrera</t>
  </si>
  <si>
    <t>POBLACION PLANES VIGENTES</t>
  </si>
  <si>
    <t>Para elegir departamento</t>
  </si>
  <si>
    <r>
      <t>poner cursor nombre de</t>
    </r>
    <r>
      <rPr>
        <u/>
        <sz val="10"/>
        <color rgb="FFC00000"/>
        <rFont val="Arial"/>
        <family val="2"/>
      </rPr>
      <t xml:space="preserve"> depto</t>
    </r>
    <r>
      <rPr>
        <sz val="10"/>
        <color rgb="FFC00000"/>
        <rFont val="Arial"/>
        <family val="2"/>
      </rPr>
      <t>.</t>
    </r>
  </si>
  <si>
    <t>(Plan en Liquidación)</t>
  </si>
  <si>
    <t>LIC. EN INFORMÁTICA</t>
  </si>
  <si>
    <t>LIC. EN CONTADURÍA</t>
  </si>
  <si>
    <t>ING. EN LOGÍSTICA</t>
  </si>
  <si>
    <t>ING EN ENERGÍAS RENOVABLES</t>
  </si>
  <si>
    <t>ING. EN GESTIÓN EMPRESARIAL</t>
  </si>
  <si>
    <t>ING. EN INFORMÁTICA</t>
  </si>
  <si>
    <t>DE QUÍMICA</t>
  </si>
  <si>
    <t>METALMECÁNICA</t>
  </si>
  <si>
    <t>POB. TOTAL EN LIQ</t>
  </si>
  <si>
    <t>No. Período</t>
  </si>
  <si>
    <t>INGENIERIA EN MATERIALES</t>
  </si>
  <si>
    <t>MAESTRIA ING.ELECTRONICA</t>
  </si>
  <si>
    <t>incluye maestria y materiales</t>
  </si>
  <si>
    <t>ING. EN MATERIALES</t>
  </si>
  <si>
    <t>PLANES EN LIQUIDACIÓN</t>
  </si>
  <si>
    <t>Posgrado</t>
  </si>
  <si>
    <t>ok</t>
  </si>
  <si>
    <t>3110 pob est_bas (dif en reingreso)</t>
  </si>
  <si>
    <t>3 NI y 5 RI= 8</t>
  </si>
  <si>
    <t>incluye maestria 6 NI</t>
  </si>
  <si>
    <t>ELE</t>
  </si>
  <si>
    <t>IND</t>
  </si>
  <si>
    <t>MEC</t>
  </si>
  <si>
    <t>ELN</t>
  </si>
  <si>
    <t>SYC</t>
  </si>
  <si>
    <t>QUI</t>
  </si>
  <si>
    <t>MKT</t>
  </si>
  <si>
    <t>LOG</t>
  </si>
  <si>
    <t>ENR</t>
  </si>
  <si>
    <t>GEM</t>
  </si>
  <si>
    <t>INF</t>
  </si>
  <si>
    <t>MAT</t>
  </si>
  <si>
    <t xml:space="preserve">Estudiantes </t>
  </si>
  <si>
    <t>POBLACIÓN ACTUAL POR PROGRAMAS EDUCATIVOS</t>
  </si>
  <si>
    <t>ESTADISTICA DE CARRERAS ACTUALES Y LIQUIDACION DE FEB-JUN 09 A ENE-JUN 17
Y PROYECCION A AGO-DIC 2018</t>
  </si>
  <si>
    <t>mtria</t>
  </si>
  <si>
    <t>MTRIA. ING. ELECTRÓNICA</t>
  </si>
  <si>
    <t>A</t>
  </si>
  <si>
    <t>POBLACION TOTAL LICENCIATURA</t>
  </si>
  <si>
    <t>LINF</t>
  </si>
  <si>
    <t>LCON</t>
  </si>
  <si>
    <t>IINF</t>
  </si>
  <si>
    <t>MTRIA</t>
  </si>
  <si>
    <t>ING.INFORMÁTICA</t>
  </si>
  <si>
    <t>LIC. CONTADURÍA</t>
  </si>
  <si>
    <t>IND.MEC</t>
  </si>
  <si>
    <t>IND.ELN</t>
  </si>
  <si>
    <t>ELE.CTL</t>
  </si>
  <si>
    <t>IND.QUI</t>
  </si>
  <si>
    <t>ING. ELECTRICA EN CONTRL</t>
  </si>
  <si>
    <t>TOTAL</t>
  </si>
  <si>
    <t>CARRERAS</t>
  </si>
  <si>
    <t>EGRESADOS</t>
  </si>
  <si>
    <t>RESUMEN DE EGRESADOS POR CARRERA</t>
  </si>
  <si>
    <t>TOTAL DE EGRESADOS</t>
  </si>
  <si>
    <t>INSTITUTO TECNOLÓGICO DE MEXICALI</t>
  </si>
  <si>
    <t>Plan Liq</t>
  </si>
  <si>
    <t>Plan 2010</t>
  </si>
  <si>
    <t>MTRIA ING.SISTEMAS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</si>
</sst>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;[Red]0"/>
    <numFmt numFmtId="165" formatCode="0.0%"/>
    <numFmt numFmtId="166" formatCode="mm/dd/yyyy;@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7"/>
      <name val="Arial Rounded MT Bold"/>
      <family val="2"/>
    </font>
    <font>
      <sz val="8"/>
      <name val="Arial Rounded MT Bold"/>
      <family val="2"/>
    </font>
    <font>
      <sz val="6"/>
      <name val="Arial Rounded MT Bold"/>
      <family val="2"/>
    </font>
    <font>
      <b/>
      <i/>
      <sz val="7.5"/>
      <name val="Arial"/>
      <family val="2"/>
    </font>
    <font>
      <b/>
      <sz val="20"/>
      <name val="Arial Rounded MT Bold"/>
      <family val="2"/>
    </font>
    <font>
      <b/>
      <sz val="12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  <font>
      <sz val="8"/>
      <color indexed="10"/>
      <name val="Arial"/>
      <family val="2"/>
    </font>
    <font>
      <sz val="8"/>
      <color indexed="8"/>
      <name val="Arial"/>
      <family val="2"/>
    </font>
    <font>
      <b/>
      <sz val="8"/>
      <name val="Arial Rounded MT Bold"/>
      <family val="2"/>
    </font>
    <font>
      <sz val="7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color rgb="FFFF0000"/>
      <name val="Arial"/>
      <family val="2"/>
    </font>
    <font>
      <sz val="10"/>
      <color theme="0"/>
      <name val="Arial"/>
      <family val="2"/>
    </font>
    <font>
      <sz val="8"/>
      <color theme="0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5" tint="-0.249977111117893"/>
      <name val="Arial"/>
      <family val="2"/>
    </font>
    <font>
      <sz val="10"/>
      <color rgb="FFC00000"/>
      <name val="Arial"/>
      <family val="2"/>
    </font>
    <font>
      <b/>
      <u/>
      <sz val="24"/>
      <color theme="3" tint="0.39997558519241921"/>
      <name val="Arial"/>
      <family val="2"/>
    </font>
    <font>
      <u/>
      <sz val="10"/>
      <color rgb="FFC00000"/>
      <name val="Arial"/>
      <family val="2"/>
    </font>
    <font>
      <sz val="9"/>
      <color theme="5" tint="-0.249977111117893"/>
      <name val="Arial"/>
      <family val="2"/>
    </font>
    <font>
      <sz val="22"/>
      <name val="Arial"/>
      <family val="2"/>
    </font>
    <font>
      <b/>
      <sz val="20"/>
      <name val="Arial"/>
      <family val="2"/>
    </font>
    <font>
      <b/>
      <sz val="7.5"/>
      <name val="Arial"/>
      <family val="2"/>
    </font>
    <font>
      <sz val="9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FF0000"/>
      </bottom>
      <diagonal/>
    </border>
    <border>
      <left/>
      <right style="medium">
        <color indexed="64"/>
      </right>
      <top style="medium">
        <color indexed="64"/>
      </top>
      <bottom style="thin">
        <color rgb="FFFF0000"/>
      </bottom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1" fillId="0" borderId="0"/>
    <xf numFmtId="0" fontId="26" fillId="0" borderId="0"/>
    <xf numFmtId="9" fontId="3" fillId="0" borderId="0" applyFont="0" applyFill="0" applyBorder="0" applyAlignment="0" applyProtection="0"/>
  </cellStyleXfs>
  <cellXfs count="513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0" applyFont="1"/>
    <xf numFmtId="0" fontId="4" fillId="0" borderId="1" xfId="0" applyFont="1" applyBorder="1"/>
    <xf numFmtId="0" fontId="4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1" xfId="0" quotePrefix="1" applyFont="1" applyBorder="1" applyAlignment="1">
      <alignment horizontal="right"/>
    </xf>
    <xf numFmtId="0" fontId="4" fillId="0" borderId="2" xfId="0" quotePrefix="1" applyFont="1" applyBorder="1" applyAlignment="1">
      <alignment horizontal="right"/>
    </xf>
    <xf numFmtId="0" fontId="4" fillId="0" borderId="3" xfId="0" quotePrefix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7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9" fillId="0" borderId="4" xfId="0" applyFont="1" applyBorder="1"/>
    <xf numFmtId="0" fontId="9" fillId="0" borderId="5" xfId="0" applyFont="1" applyBorder="1"/>
    <xf numFmtId="0" fontId="9" fillId="0" borderId="5" xfId="0" applyFont="1" applyBorder="1" applyAlignment="1">
      <alignment horizontal="center"/>
    </xf>
    <xf numFmtId="0" fontId="9" fillId="0" borderId="6" xfId="0" applyFont="1" applyBorder="1"/>
    <xf numFmtId="0" fontId="9" fillId="0" borderId="5" xfId="0" quotePrefix="1" applyFont="1" applyBorder="1" applyAlignment="1">
      <alignment horizontal="center"/>
    </xf>
    <xf numFmtId="0" fontId="4" fillId="0" borderId="7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0" fillId="0" borderId="0" xfId="0" applyBorder="1"/>
    <xf numFmtId="0" fontId="4" fillId="0" borderId="3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4" fillId="0" borderId="13" xfId="0" quotePrefix="1" applyFont="1" applyBorder="1" applyAlignment="1">
      <alignment horizontal="right"/>
    </xf>
    <xf numFmtId="0" fontId="4" fillId="0" borderId="0" xfId="0" applyFont="1" applyFill="1"/>
    <xf numFmtId="0" fontId="5" fillId="0" borderId="9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left"/>
    </xf>
    <xf numFmtId="0" fontId="4" fillId="0" borderId="1" xfId="0" applyFont="1" applyFill="1" applyBorder="1"/>
    <xf numFmtId="0" fontId="4" fillId="0" borderId="3" xfId="0" quotePrefix="1" applyFont="1" applyFill="1" applyBorder="1" applyAlignment="1">
      <alignment horizontal="right"/>
    </xf>
    <xf numFmtId="0" fontId="4" fillId="0" borderId="9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6" fillId="0" borderId="2" xfId="0" applyFont="1" applyBorder="1"/>
    <xf numFmtId="0" fontId="6" fillId="0" borderId="2" xfId="0" quotePrefix="1" applyFont="1" applyBorder="1" applyAlignment="1">
      <alignment horizontal="left"/>
    </xf>
    <xf numFmtId="0" fontId="6" fillId="0" borderId="2" xfId="0" quotePrefix="1" applyFont="1" applyFill="1" applyBorder="1" applyAlignment="1">
      <alignment horizontal="left"/>
    </xf>
    <xf numFmtId="0" fontId="4" fillId="0" borderId="15" xfId="0" quotePrefix="1" applyFont="1" applyBorder="1" applyAlignment="1">
      <alignment horizontal="right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2" xfId="0" quotePrefix="1" applyFont="1" applyBorder="1" applyAlignment="1"/>
    <xf numFmtId="0" fontId="4" fillId="0" borderId="2" xfId="0" quotePrefix="1" applyFont="1" applyBorder="1" applyAlignment="1">
      <alignment horizontal="left"/>
    </xf>
    <xf numFmtId="0" fontId="4" fillId="0" borderId="2" xfId="0" quotePrefix="1" applyFont="1" applyFill="1" applyBorder="1" applyAlignment="1">
      <alignment horizontal="left"/>
    </xf>
    <xf numFmtId="0" fontId="4" fillId="0" borderId="15" xfId="0" quotePrefix="1" applyFont="1" applyFill="1" applyBorder="1" applyAlignment="1">
      <alignment horizontal="right"/>
    </xf>
    <xf numFmtId="0" fontId="4" fillId="0" borderId="3" xfId="0" applyFont="1" applyFill="1" applyBorder="1"/>
    <xf numFmtId="0" fontId="4" fillId="0" borderId="13" xfId="0" quotePrefix="1" applyFont="1" applyFill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4" fillId="0" borderId="15" xfId="0" applyFont="1" applyFill="1" applyBorder="1" applyAlignment="1">
      <alignment horizontal="right"/>
    </xf>
    <xf numFmtId="0" fontId="4" fillId="0" borderId="3" xfId="0" applyFont="1" applyFill="1" applyBorder="1" applyAlignment="1">
      <alignment horizontal="right"/>
    </xf>
    <xf numFmtId="0" fontId="4" fillId="0" borderId="13" xfId="0" applyFont="1" applyFill="1" applyBorder="1" applyAlignment="1">
      <alignment horizontal="right"/>
    </xf>
    <xf numFmtId="0" fontId="4" fillId="0" borderId="16" xfId="0" applyFont="1" applyBorder="1" applyAlignment="1">
      <alignment horizontal="right"/>
    </xf>
    <xf numFmtId="0" fontId="4" fillId="0" borderId="2" xfId="0" quotePrefix="1" applyFont="1" applyFill="1" applyBorder="1" applyAlignment="1">
      <alignment horizontal="right"/>
    </xf>
    <xf numFmtId="0" fontId="4" fillId="0" borderId="16" xfId="0" applyFont="1" applyFill="1" applyBorder="1" applyAlignment="1">
      <alignment horizontal="right"/>
    </xf>
    <xf numFmtId="0" fontId="6" fillId="0" borderId="17" xfId="0" applyFont="1" applyFill="1" applyBorder="1"/>
    <xf numFmtId="0" fontId="4" fillId="0" borderId="18" xfId="0" quotePrefix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19" xfId="0" quotePrefix="1" applyFont="1" applyFill="1" applyBorder="1" applyAlignment="1">
      <alignment horizontal="right"/>
    </xf>
    <xf numFmtId="0" fontId="4" fillId="0" borderId="20" xfId="0" applyFont="1" applyFill="1" applyBorder="1" applyAlignment="1">
      <alignment horizontal="right"/>
    </xf>
    <xf numFmtId="0" fontId="4" fillId="0" borderId="17" xfId="0" applyFont="1" applyFill="1" applyBorder="1" applyAlignment="1">
      <alignment horizontal="right"/>
    </xf>
    <xf numFmtId="0" fontId="6" fillId="0" borderId="2" xfId="0" applyFont="1" applyFill="1" applyBorder="1"/>
    <xf numFmtId="0" fontId="4" fillId="0" borderId="2" xfId="0" applyFont="1" applyFill="1" applyBorder="1" applyAlignment="1">
      <alignment horizontal="right"/>
    </xf>
    <xf numFmtId="0" fontId="5" fillId="0" borderId="0" xfId="0" applyFont="1" applyFill="1"/>
    <xf numFmtId="0" fontId="5" fillId="0" borderId="0" xfId="0" applyFont="1" applyFill="1" applyBorder="1"/>
    <xf numFmtId="0" fontId="4" fillId="0" borderId="3" xfId="0" quotePrefix="1" applyFont="1" applyFill="1" applyBorder="1" applyAlignment="1">
      <alignment horizontal="left"/>
    </xf>
    <xf numFmtId="0" fontId="13" fillId="0" borderId="12" xfId="0" applyFont="1" applyFill="1" applyBorder="1"/>
    <xf numFmtId="0" fontId="13" fillId="0" borderId="9" xfId="0" applyFont="1" applyFill="1" applyBorder="1"/>
    <xf numFmtId="0" fontId="13" fillId="0" borderId="9" xfId="0" applyFont="1" applyFill="1" applyBorder="1" applyAlignment="1">
      <alignment horizontal="right"/>
    </xf>
    <xf numFmtId="0" fontId="13" fillId="0" borderId="21" xfId="0" quotePrefix="1" applyFont="1" applyFill="1" applyBorder="1" applyAlignment="1">
      <alignment horizontal="right"/>
    </xf>
    <xf numFmtId="0" fontId="13" fillId="0" borderId="12" xfId="0" applyFont="1" applyFill="1" applyBorder="1" applyAlignment="1">
      <alignment horizontal="right"/>
    </xf>
    <xf numFmtId="0" fontId="13" fillId="0" borderId="21" xfId="0" applyFont="1" applyFill="1" applyBorder="1" applyAlignment="1">
      <alignment horizontal="right"/>
    </xf>
    <xf numFmtId="0" fontId="4" fillId="0" borderId="22" xfId="0" applyFont="1" applyFill="1" applyBorder="1"/>
    <xf numFmtId="0" fontId="4" fillId="0" borderId="22" xfId="0" applyFont="1" applyFill="1" applyBorder="1" applyAlignment="1">
      <alignment horizontal="right"/>
    </xf>
    <xf numFmtId="0" fontId="4" fillId="0" borderId="23" xfId="0" applyFont="1" applyBorder="1"/>
    <xf numFmtId="0" fontId="4" fillId="0" borderId="24" xfId="0" applyFont="1" applyBorder="1"/>
    <xf numFmtId="0" fontId="4" fillId="0" borderId="24" xfId="0" applyFont="1" applyBorder="1" applyAlignment="1">
      <alignment horizontal="right"/>
    </xf>
    <xf numFmtId="0" fontId="4" fillId="0" borderId="25" xfId="0" quotePrefix="1" applyFont="1" applyBorder="1" applyAlignment="1">
      <alignment horizontal="right"/>
    </xf>
    <xf numFmtId="0" fontId="4" fillId="0" borderId="23" xfId="0" applyFont="1" applyBorder="1" applyAlignment="1">
      <alignment horizontal="right"/>
    </xf>
    <xf numFmtId="0" fontId="4" fillId="0" borderId="24" xfId="0" applyFont="1" applyFill="1" applyBorder="1" applyAlignment="1">
      <alignment horizontal="right"/>
    </xf>
    <xf numFmtId="0" fontId="4" fillId="0" borderId="25" xfId="0" applyFont="1" applyFill="1" applyBorder="1" applyAlignment="1">
      <alignment horizontal="right"/>
    </xf>
    <xf numFmtId="0" fontId="4" fillId="0" borderId="25" xfId="0" applyFont="1" applyBorder="1" applyAlignment="1">
      <alignment horizontal="right"/>
    </xf>
    <xf numFmtId="164" fontId="4" fillId="0" borderId="1" xfId="0" applyNumberFormat="1" applyFont="1" applyFill="1" applyBorder="1" applyAlignment="1">
      <alignment horizontal="center"/>
    </xf>
    <xf numFmtId="164" fontId="4" fillId="0" borderId="1" xfId="0" quotePrefix="1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right"/>
    </xf>
    <xf numFmtId="0" fontId="6" fillId="0" borderId="26" xfId="0" quotePrefix="1" applyFont="1" applyFill="1" applyBorder="1" applyAlignment="1">
      <alignment horizontal="left"/>
    </xf>
    <xf numFmtId="0" fontId="4" fillId="0" borderId="12" xfId="0" applyFont="1" applyFill="1" applyBorder="1"/>
    <xf numFmtId="0" fontId="4" fillId="0" borderId="9" xfId="0" applyFont="1" applyFill="1" applyBorder="1"/>
    <xf numFmtId="0" fontId="4" fillId="0" borderId="21" xfId="0" quotePrefix="1" applyFont="1" applyFill="1" applyBorder="1" applyAlignment="1">
      <alignment horizontal="right"/>
    </xf>
    <xf numFmtId="0" fontId="4" fillId="0" borderId="12" xfId="0" applyFont="1" applyFill="1" applyBorder="1" applyAlignment="1">
      <alignment horizontal="right"/>
    </xf>
    <xf numFmtId="0" fontId="4" fillId="0" borderId="21" xfId="0" applyFont="1" applyFill="1" applyBorder="1" applyAlignment="1">
      <alignment horizontal="right"/>
    </xf>
    <xf numFmtId="164" fontId="4" fillId="0" borderId="9" xfId="0" quotePrefix="1" applyNumberFormat="1" applyFont="1" applyFill="1" applyBorder="1" applyAlignment="1">
      <alignment horizontal="center"/>
    </xf>
    <xf numFmtId="164" fontId="4" fillId="0" borderId="9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1" xfId="0" quotePrefix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3" xfId="0" quotePrefix="1" applyFont="1" applyBorder="1" applyAlignment="1">
      <alignment horizontal="center"/>
    </xf>
    <xf numFmtId="0" fontId="4" fillId="0" borderId="13" xfId="0" quotePrefix="1" applyFont="1" applyFill="1" applyBorder="1" applyAlignment="1">
      <alignment horizontal="center"/>
    </xf>
    <xf numFmtId="0" fontId="4" fillId="0" borderId="15" xfId="0" quotePrefix="1" applyFont="1" applyFill="1" applyBorder="1" applyAlignment="1">
      <alignment horizontal="center"/>
    </xf>
    <xf numFmtId="0" fontId="4" fillId="0" borderId="15" xfId="0" quotePrefix="1" applyFont="1" applyBorder="1" applyAlignment="1">
      <alignment horizontal="center"/>
    </xf>
    <xf numFmtId="164" fontId="4" fillId="0" borderId="21" xfId="0" quotePrefix="1" applyNumberFormat="1" applyFont="1" applyFill="1" applyBorder="1" applyAlignment="1">
      <alignment horizontal="center"/>
    </xf>
    <xf numFmtId="164" fontId="4" fillId="0" borderId="13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4" fillId="0" borderId="2" xfId="0" quotePrefix="1" applyFont="1" applyFill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4" fillId="0" borderId="3" xfId="0" quotePrefix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164" fontId="4" fillId="0" borderId="12" xfId="0" applyNumberFormat="1" applyFont="1" applyFill="1" applyBorder="1" applyAlignment="1">
      <alignment horizontal="center"/>
    </xf>
    <xf numFmtId="164" fontId="4" fillId="0" borderId="22" xfId="0" applyNumberFormat="1" applyFont="1" applyFill="1" applyBorder="1" applyAlignment="1">
      <alignment horizontal="center"/>
    </xf>
    <xf numFmtId="164" fontId="4" fillId="0" borderId="23" xfId="0" applyNumberFormat="1" applyFont="1" applyBorder="1" applyAlignment="1">
      <alignment horizontal="center"/>
    </xf>
    <xf numFmtId="164" fontId="4" fillId="0" borderId="24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Fill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6" xfId="0" quotePrefix="1" applyFont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6" xfId="0" quotePrefix="1" applyFont="1" applyFill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164" fontId="4" fillId="0" borderId="24" xfId="0" applyNumberFormat="1" applyFont="1" applyBorder="1" applyAlignment="1">
      <alignment horizontal="center"/>
    </xf>
    <xf numFmtId="1" fontId="4" fillId="0" borderId="9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12" xfId="0" quotePrefix="1" applyNumberFormat="1" applyFont="1" applyFill="1" applyBorder="1" applyAlignment="1">
      <alignment horizontal="center"/>
    </xf>
    <xf numFmtId="164" fontId="4" fillId="0" borderId="22" xfId="0" quotePrefix="1" applyNumberFormat="1" applyFont="1" applyFill="1" applyBorder="1" applyAlignment="1">
      <alignment horizontal="center"/>
    </xf>
    <xf numFmtId="164" fontId="4" fillId="0" borderId="23" xfId="0" quotePrefix="1" applyNumberFormat="1" applyFont="1" applyBorder="1" applyAlignment="1">
      <alignment horizontal="center"/>
    </xf>
    <xf numFmtId="164" fontId="4" fillId="0" borderId="3" xfId="0" quotePrefix="1" applyNumberFormat="1" applyFont="1" applyFill="1" applyBorder="1" applyAlignment="1">
      <alignment horizontal="center"/>
    </xf>
    <xf numFmtId="164" fontId="4" fillId="0" borderId="23" xfId="0" applyNumberFormat="1" applyFont="1" applyFill="1" applyBorder="1" applyAlignment="1">
      <alignment horizontal="center"/>
    </xf>
    <xf numFmtId="164" fontId="4" fillId="0" borderId="23" xfId="0" quotePrefix="1" applyNumberFormat="1" applyFont="1" applyFill="1" applyBorder="1" applyAlignment="1">
      <alignment horizontal="center"/>
    </xf>
    <xf numFmtId="164" fontId="4" fillId="0" borderId="24" xfId="0" applyNumberFormat="1" applyFont="1" applyFill="1" applyBorder="1" applyAlignment="1">
      <alignment horizontal="center"/>
    </xf>
    <xf numFmtId="0" fontId="4" fillId="4" borderId="1" xfId="0" quotePrefix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9" xfId="0" quotePrefix="1" applyFont="1" applyBorder="1" applyAlignment="1">
      <alignment horizontal="center"/>
    </xf>
    <xf numFmtId="0" fontId="4" fillId="0" borderId="29" xfId="0" quotePrefix="1" applyFont="1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4" fillId="0" borderId="32" xfId="0" quotePrefix="1" applyFont="1" applyBorder="1" applyAlignment="1">
      <alignment horizontal="center"/>
    </xf>
    <xf numFmtId="0" fontId="4" fillId="0" borderId="32" xfId="0" quotePrefix="1" applyFont="1" applyFill="1" applyBorder="1" applyAlignment="1">
      <alignment horizontal="center"/>
    </xf>
    <xf numFmtId="164" fontId="4" fillId="0" borderId="30" xfId="0" quotePrefix="1" applyNumberFormat="1" applyFont="1" applyFill="1" applyBorder="1" applyAlignment="1">
      <alignment horizontal="center"/>
    </xf>
    <xf numFmtId="164" fontId="4" fillId="0" borderId="32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4" fillId="0" borderId="34" xfId="0" applyFont="1" applyFill="1" applyBorder="1" applyAlignment="1">
      <alignment horizontal="center"/>
    </xf>
    <xf numFmtId="164" fontId="4" fillId="0" borderId="1" xfId="0" quotePrefix="1" applyNumberFormat="1" applyFont="1" applyBorder="1" applyAlignment="1">
      <alignment horizontal="center"/>
    </xf>
    <xf numFmtId="0" fontId="4" fillId="0" borderId="35" xfId="0" applyFont="1" applyFill="1" applyBorder="1" applyAlignment="1">
      <alignment horizontal="center"/>
    </xf>
    <xf numFmtId="0" fontId="4" fillId="0" borderId="22" xfId="0" quotePrefix="1" applyFont="1" applyBorder="1" applyAlignment="1">
      <alignment horizontal="center"/>
    </xf>
    <xf numFmtId="0" fontId="4" fillId="0" borderId="22" xfId="0" quotePrefix="1" applyFont="1" applyFill="1" applyBorder="1" applyAlignment="1">
      <alignment horizontal="center"/>
    </xf>
    <xf numFmtId="164" fontId="4" fillId="0" borderId="22" xfId="0" quotePrefix="1" applyNumberFormat="1" applyFont="1" applyBorder="1" applyAlignment="1">
      <alignment horizontal="center"/>
    </xf>
    <xf numFmtId="164" fontId="4" fillId="0" borderId="34" xfId="0" quotePrefix="1" applyNumberFormat="1" applyFont="1" applyFill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4" fillId="0" borderId="36" xfId="0" quotePrefix="1" applyFont="1" applyFill="1" applyBorder="1" applyAlignment="1">
      <alignment horizontal="right"/>
    </xf>
    <xf numFmtId="0" fontId="4" fillId="0" borderId="29" xfId="0" quotePrefix="1" applyFont="1" applyBorder="1" applyAlignment="1">
      <alignment horizontal="right"/>
    </xf>
    <xf numFmtId="0" fontId="4" fillId="0" borderId="29" xfId="0" quotePrefix="1" applyFont="1" applyFill="1" applyBorder="1" applyAlignment="1">
      <alignment horizontal="right"/>
    </xf>
    <xf numFmtId="0" fontId="4" fillId="0" borderId="32" xfId="0" applyFont="1" applyFill="1" applyBorder="1"/>
    <xf numFmtId="0" fontId="4" fillId="0" borderId="32" xfId="0" applyFont="1" applyBorder="1"/>
    <xf numFmtId="0" fontId="4" fillId="0" borderId="29" xfId="0" applyFont="1" applyBorder="1" applyAlignment="1">
      <alignment horizontal="right"/>
    </xf>
    <xf numFmtId="0" fontId="4" fillId="0" borderId="22" xfId="0" quotePrefix="1" applyFont="1" applyBorder="1" applyAlignment="1">
      <alignment horizontal="right"/>
    </xf>
    <xf numFmtId="0" fontId="4" fillId="0" borderId="22" xfId="0" quotePrefix="1" applyFont="1" applyFill="1" applyBorder="1" applyAlignment="1">
      <alignment horizontal="right"/>
    </xf>
    <xf numFmtId="0" fontId="13" fillId="0" borderId="34" xfId="0" applyFont="1" applyFill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4" fillId="0" borderId="34" xfId="0" applyFont="1" applyFill="1" applyBorder="1" applyAlignment="1">
      <alignment horizontal="right"/>
    </xf>
    <xf numFmtId="0" fontId="4" fillId="0" borderId="22" xfId="0" applyFont="1" applyBorder="1"/>
    <xf numFmtId="0" fontId="4" fillId="0" borderId="13" xfId="0" applyFont="1" applyFill="1" applyBorder="1"/>
    <xf numFmtId="0" fontId="4" fillId="0" borderId="13" xfId="0" applyFont="1" applyBorder="1"/>
    <xf numFmtId="0" fontId="4" fillId="0" borderId="37" xfId="0" applyFont="1" applyFill="1" applyBorder="1" applyAlignment="1">
      <alignment horizontal="right"/>
    </xf>
    <xf numFmtId="0" fontId="4" fillId="0" borderId="29" xfId="0" applyFont="1" applyFill="1" applyBorder="1" applyAlignment="1">
      <alignment horizontal="right"/>
    </xf>
    <xf numFmtId="0" fontId="4" fillId="0" borderId="32" xfId="0" applyFont="1" applyFill="1" applyBorder="1" applyAlignment="1">
      <alignment horizontal="right"/>
    </xf>
    <xf numFmtId="0" fontId="13" fillId="0" borderId="30" xfId="0" applyFont="1" applyFill="1" applyBorder="1" applyAlignment="1">
      <alignment horizontal="right"/>
    </xf>
    <xf numFmtId="0" fontId="4" fillId="0" borderId="33" xfId="0" applyFont="1" applyBorder="1" applyAlignment="1">
      <alignment horizontal="right"/>
    </xf>
    <xf numFmtId="0" fontId="4" fillId="0" borderId="30" xfId="0" applyFont="1" applyFill="1" applyBorder="1" applyAlignment="1">
      <alignment horizontal="right"/>
    </xf>
    <xf numFmtId="0" fontId="4" fillId="0" borderId="37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164" fontId="4" fillId="0" borderId="34" xfId="0" applyNumberFormat="1" applyFont="1" applyFill="1" applyBorder="1" applyAlignment="1">
      <alignment horizontal="center"/>
    </xf>
    <xf numFmtId="164" fontId="4" fillId="0" borderId="35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Fill="1" applyBorder="1" applyAlignment="1">
      <alignment horizontal="center"/>
    </xf>
    <xf numFmtId="164" fontId="4" fillId="0" borderId="35" xfId="0" applyNumberFormat="1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4" fillId="0" borderId="39" xfId="0" applyFont="1" applyFill="1" applyBorder="1" applyAlignment="1">
      <alignment horizontal="center"/>
    </xf>
    <xf numFmtId="0" fontId="13" fillId="0" borderId="13" xfId="0" applyFont="1" applyFill="1" applyBorder="1" applyAlignment="1">
      <alignment horizontal="center"/>
    </xf>
    <xf numFmtId="164" fontId="4" fillId="0" borderId="35" xfId="0" quotePrefix="1" applyNumberFormat="1" applyFont="1" applyBorder="1" applyAlignment="1">
      <alignment horizontal="center"/>
    </xf>
    <xf numFmtId="164" fontId="4" fillId="0" borderId="32" xfId="0" quotePrefix="1" applyNumberFormat="1" applyFont="1" applyBorder="1" applyAlignment="1">
      <alignment horizontal="center"/>
    </xf>
    <xf numFmtId="0" fontId="4" fillId="0" borderId="40" xfId="0" applyFont="1" applyFill="1" applyBorder="1" applyAlignment="1">
      <alignment horizontal="center"/>
    </xf>
    <xf numFmtId="0" fontId="4" fillId="0" borderId="41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164" fontId="4" fillId="0" borderId="15" xfId="0" quotePrefix="1" applyNumberFormat="1" applyFont="1" applyFill="1" applyBorder="1" applyAlignment="1">
      <alignment horizontal="center"/>
    </xf>
    <xf numFmtId="164" fontId="4" fillId="0" borderId="3" xfId="0" quotePrefix="1" applyNumberFormat="1" applyFont="1" applyBorder="1" applyAlignment="1">
      <alignment horizontal="center"/>
    </xf>
    <xf numFmtId="164" fontId="4" fillId="0" borderId="15" xfId="0" quotePrefix="1" applyNumberFormat="1" applyFont="1" applyBorder="1" applyAlignment="1">
      <alignment horizontal="center"/>
    </xf>
    <xf numFmtId="164" fontId="4" fillId="0" borderId="16" xfId="0" quotePrefix="1" applyNumberFormat="1" applyFont="1" applyFill="1" applyBorder="1" applyAlignment="1">
      <alignment horizontal="center"/>
    </xf>
    <xf numFmtId="0" fontId="4" fillId="0" borderId="42" xfId="0" applyFont="1" applyFill="1" applyBorder="1" applyAlignment="1">
      <alignment horizontal="center"/>
    </xf>
    <xf numFmtId="164" fontId="4" fillId="0" borderId="29" xfId="0" quotePrefix="1" applyNumberFormat="1" applyFont="1" applyFill="1" applyBorder="1" applyAlignment="1">
      <alignment horizontal="center"/>
    </xf>
    <xf numFmtId="164" fontId="4" fillId="0" borderId="29" xfId="0" quotePrefix="1" applyNumberFormat="1" applyFont="1" applyBorder="1" applyAlignment="1">
      <alignment horizontal="center"/>
    </xf>
    <xf numFmtId="164" fontId="4" fillId="0" borderId="10" xfId="0" quotePrefix="1" applyNumberFormat="1" applyFont="1" applyFill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45" xfId="0" applyFont="1" applyFill="1" applyBorder="1" applyAlignment="1">
      <alignment horizontal="center"/>
    </xf>
    <xf numFmtId="0" fontId="4" fillId="0" borderId="46" xfId="0" quotePrefix="1" applyFont="1" applyFill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3" fillId="0" borderId="0" xfId="0" applyFont="1" applyFill="1" applyBorder="1"/>
    <xf numFmtId="0" fontId="16" fillId="0" borderId="0" xfId="0" applyFont="1"/>
    <xf numFmtId="165" fontId="13" fillId="0" borderId="0" xfId="1" applyNumberFormat="1" applyFont="1" applyAlignment="1">
      <alignment horizontal="center"/>
    </xf>
    <xf numFmtId="0" fontId="13" fillId="0" borderId="0" xfId="0" applyFont="1" applyFill="1"/>
    <xf numFmtId="0" fontId="13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164" fontId="4" fillId="0" borderId="0" xfId="0" quotePrefix="1" applyNumberFormat="1" applyFont="1" applyFill="1" applyBorder="1" applyAlignment="1">
      <alignment horizontal="center"/>
    </xf>
    <xf numFmtId="0" fontId="4" fillId="6" borderId="3" xfId="0" applyFont="1" applyFill="1" applyBorder="1"/>
    <xf numFmtId="0" fontId="4" fillId="6" borderId="1" xfId="0" applyFont="1" applyFill="1" applyBorder="1"/>
    <xf numFmtId="0" fontId="4" fillId="6" borderId="13" xfId="0" applyFont="1" applyFill="1" applyBorder="1"/>
    <xf numFmtId="0" fontId="4" fillId="6" borderId="22" xfId="0" applyFont="1" applyFill="1" applyBorder="1"/>
    <xf numFmtId="0" fontId="4" fillId="6" borderId="32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/>
    </xf>
    <xf numFmtId="0" fontId="6" fillId="6" borderId="2" xfId="0" applyFont="1" applyFill="1" applyBorder="1"/>
    <xf numFmtId="165" fontId="4" fillId="0" borderId="0" xfId="1" applyNumberFormat="1" applyFont="1" applyAlignment="1"/>
    <xf numFmtId="165" fontId="13" fillId="7" borderId="0" xfId="1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center"/>
    </xf>
    <xf numFmtId="0" fontId="3" fillId="0" borderId="0" xfId="0" applyFont="1" applyFill="1"/>
    <xf numFmtId="0" fontId="3" fillId="0" borderId="0" xfId="0" applyFont="1" applyFill="1" applyProtection="1"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Font="1" applyFill="1" applyBorder="1" applyAlignment="1"/>
    <xf numFmtId="0" fontId="6" fillId="0" borderId="11" xfId="0" applyFont="1" applyFill="1" applyBorder="1"/>
    <xf numFmtId="0" fontId="7" fillId="0" borderId="48" xfId="0" applyFont="1" applyBorder="1"/>
    <xf numFmtId="0" fontId="3" fillId="0" borderId="1" xfId="0" applyFont="1" applyFill="1" applyBorder="1" applyAlignment="1">
      <alignment horizontal="center"/>
    </xf>
    <xf numFmtId="0" fontId="3" fillId="0" borderId="13" xfId="0" applyFont="1" applyFill="1" applyBorder="1" applyAlignment="1" applyProtection="1">
      <alignment horizontal="center"/>
    </xf>
    <xf numFmtId="0" fontId="13" fillId="0" borderId="42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textRotation="90"/>
    </xf>
    <xf numFmtId="0" fontId="0" fillId="9" borderId="1" xfId="0" applyFill="1" applyBorder="1"/>
    <xf numFmtId="0" fontId="0" fillId="10" borderId="1" xfId="0" applyFill="1" applyBorder="1"/>
    <xf numFmtId="0" fontId="21" fillId="0" borderId="0" xfId="0" applyFont="1"/>
    <xf numFmtId="0" fontId="21" fillId="11" borderId="1" xfId="0" applyFont="1" applyFill="1" applyBorder="1"/>
    <xf numFmtId="0" fontId="0" fillId="9" borderId="50" xfId="0" applyFill="1" applyBorder="1"/>
    <xf numFmtId="0" fontId="21" fillId="11" borderId="50" xfId="0" applyFont="1" applyFill="1" applyBorder="1"/>
    <xf numFmtId="0" fontId="0" fillId="10" borderId="50" xfId="0" applyFill="1" applyBorder="1"/>
    <xf numFmtId="0" fontId="0" fillId="10" borderId="37" xfId="0" applyFill="1" applyBorder="1"/>
    <xf numFmtId="0" fontId="0" fillId="0" borderId="20" xfId="0" applyBorder="1"/>
    <xf numFmtId="0" fontId="0" fillId="10" borderId="0" xfId="0" applyFill="1" applyBorder="1"/>
    <xf numFmtId="0" fontId="0" fillId="0" borderId="46" xfId="0" applyBorder="1"/>
    <xf numFmtId="0" fontId="0" fillId="9" borderId="38" xfId="0" applyFill="1" applyBorder="1"/>
    <xf numFmtId="0" fontId="21" fillId="11" borderId="38" xfId="0" applyFont="1" applyFill="1" applyBorder="1"/>
    <xf numFmtId="0" fontId="0" fillId="10" borderId="38" xfId="0" applyFill="1" applyBorder="1"/>
    <xf numFmtId="0" fontId="0" fillId="10" borderId="51" xfId="0" applyFill="1" applyBorder="1"/>
    <xf numFmtId="0" fontId="0" fillId="0" borderId="52" xfId="0" applyBorder="1"/>
    <xf numFmtId="0" fontId="0" fillId="13" borderId="17" xfId="0" applyFill="1" applyBorder="1"/>
    <xf numFmtId="0" fontId="0" fillId="13" borderId="7" xfId="0" applyFill="1" applyBorder="1"/>
    <xf numFmtId="0" fontId="0" fillId="14" borderId="7" xfId="0" applyFill="1" applyBorder="1"/>
    <xf numFmtId="0" fontId="0" fillId="14" borderId="53" xfId="0" applyFill="1" applyBorder="1"/>
    <xf numFmtId="0" fontId="9" fillId="0" borderId="0" xfId="0" applyFont="1" applyBorder="1" applyAlignment="1"/>
    <xf numFmtId="0" fontId="3" fillId="0" borderId="0" xfId="0" applyFont="1" applyBorder="1" applyAlignment="1"/>
    <xf numFmtId="0" fontId="3" fillId="6" borderId="0" xfId="0" applyFont="1" applyFill="1" applyBorder="1"/>
    <xf numFmtId="10" fontId="5" fillId="0" borderId="0" xfId="0" applyNumberFormat="1" applyFont="1" applyAlignment="1">
      <alignment horizontal="center"/>
    </xf>
    <xf numFmtId="0" fontId="7" fillId="0" borderId="57" xfId="0" applyFont="1" applyBorder="1"/>
    <xf numFmtId="0" fontId="4" fillId="0" borderId="57" xfId="0" applyFont="1" applyBorder="1"/>
    <xf numFmtId="0" fontId="4" fillId="0" borderId="57" xfId="0" applyFont="1" applyBorder="1" applyAlignment="1">
      <alignment horizontal="center"/>
    </xf>
    <xf numFmtId="10" fontId="17" fillId="0" borderId="57" xfId="0" applyNumberFormat="1" applyFont="1" applyBorder="1" applyAlignment="1">
      <alignment horizontal="center"/>
    </xf>
    <xf numFmtId="165" fontId="13" fillId="0" borderId="57" xfId="1" applyNumberFormat="1" applyFont="1" applyBorder="1" applyAlignment="1">
      <alignment horizontal="center"/>
    </xf>
    <xf numFmtId="10" fontId="5" fillId="0" borderId="57" xfId="0" applyNumberFormat="1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4" fillId="0" borderId="57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quotePrefix="1" applyFont="1" applyBorder="1" applyAlignment="1">
      <alignment horizontal="center"/>
    </xf>
    <xf numFmtId="0" fontId="4" fillId="0" borderId="0" xfId="0" quotePrefix="1" applyFont="1" applyFill="1" applyBorder="1" applyAlignment="1">
      <alignment horizontal="center"/>
    </xf>
    <xf numFmtId="0" fontId="4" fillId="0" borderId="58" xfId="0" applyFont="1" applyBorder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0" fontId="4" fillId="6" borderId="24" xfId="0" applyFont="1" applyFill="1" applyBorder="1" applyAlignment="1">
      <alignment horizontal="center"/>
    </xf>
    <xf numFmtId="0" fontId="4" fillId="6" borderId="32" xfId="0" applyFont="1" applyFill="1" applyBorder="1" applyAlignment="1">
      <alignment horizontal="center"/>
    </xf>
    <xf numFmtId="0" fontId="4" fillId="6" borderId="23" xfId="0" applyFont="1" applyFill="1" applyBorder="1" applyAlignment="1">
      <alignment horizontal="center"/>
    </xf>
    <xf numFmtId="0" fontId="4" fillId="6" borderId="25" xfId="0" applyFont="1" applyFill="1" applyBorder="1" applyAlignment="1">
      <alignment horizontal="center"/>
    </xf>
    <xf numFmtId="0" fontId="4" fillId="6" borderId="43" xfId="0" applyFont="1" applyFill="1" applyBorder="1" applyAlignment="1">
      <alignment horizontal="center"/>
    </xf>
    <xf numFmtId="0" fontId="4" fillId="6" borderId="38" xfId="0" applyFont="1" applyFill="1" applyBorder="1" applyAlignment="1">
      <alignment horizontal="center"/>
    </xf>
    <xf numFmtId="0" fontId="4" fillId="6" borderId="44" xfId="0" applyFont="1" applyFill="1" applyBorder="1" applyAlignment="1">
      <alignment horizontal="center"/>
    </xf>
    <xf numFmtId="16" fontId="17" fillId="0" borderId="0" xfId="0" applyNumberFormat="1" applyFont="1" applyFill="1" applyAlignment="1">
      <alignment horizontal="center" vertical="center"/>
    </xf>
    <xf numFmtId="0" fontId="0" fillId="10" borderId="59" xfId="0" applyFill="1" applyBorder="1"/>
    <xf numFmtId="0" fontId="0" fillId="9" borderId="59" xfId="0" applyFill="1" applyBorder="1"/>
    <xf numFmtId="0" fontId="21" fillId="11" borderId="59" xfId="0" applyFont="1" applyFill="1" applyBorder="1"/>
    <xf numFmtId="0" fontId="10" fillId="0" borderId="0" xfId="0" applyFont="1" applyAlignment="1"/>
    <xf numFmtId="0" fontId="11" fillId="0" borderId="0" xfId="0" applyFont="1" applyAlignment="1"/>
    <xf numFmtId="0" fontId="3" fillId="17" borderId="0" xfId="0" applyFont="1" applyFill="1"/>
    <xf numFmtId="0" fontId="0" fillId="17" borderId="0" xfId="0" applyFill="1"/>
    <xf numFmtId="0" fontId="4" fillId="17" borderId="9" xfId="0" applyFont="1" applyFill="1" applyBorder="1" applyAlignment="1"/>
    <xf numFmtId="0" fontId="23" fillId="17" borderId="0" xfId="0" applyFont="1" applyFill="1"/>
    <xf numFmtId="0" fontId="4" fillId="17" borderId="0" xfId="0" applyFont="1" applyFill="1" applyBorder="1" applyAlignment="1"/>
    <xf numFmtId="0" fontId="0" fillId="17" borderId="0" xfId="0" applyFill="1" applyBorder="1"/>
    <xf numFmtId="0" fontId="0" fillId="17" borderId="0" xfId="0" applyFill="1" applyAlignment="1">
      <alignment horizontal="right"/>
    </xf>
    <xf numFmtId="0" fontId="2" fillId="17" borderId="0" xfId="0" applyFont="1" applyFill="1" applyAlignment="1">
      <alignment horizontal="center"/>
    </xf>
    <xf numFmtId="22" fontId="0" fillId="17" borderId="0" xfId="0" applyNumberFormat="1" applyFill="1"/>
    <xf numFmtId="166" fontId="0" fillId="17" borderId="0" xfId="0" applyNumberFormat="1" applyFill="1"/>
    <xf numFmtId="0" fontId="23" fillId="17" borderId="0" xfId="0" applyFont="1" applyFill="1" applyAlignment="1">
      <alignment horizontal="left"/>
    </xf>
    <xf numFmtId="0" fontId="4" fillId="9" borderId="9" xfId="0" applyFont="1" applyFill="1" applyBorder="1" applyAlignment="1"/>
    <xf numFmtId="0" fontId="0" fillId="9" borderId="24" xfId="0" applyFill="1" applyBorder="1"/>
    <xf numFmtId="0" fontId="21" fillId="11" borderId="24" xfId="0" applyFont="1" applyFill="1" applyBorder="1"/>
    <xf numFmtId="0" fontId="0" fillId="10" borderId="24" xfId="0" applyFill="1" applyBorder="1"/>
    <xf numFmtId="0" fontId="21" fillId="12" borderId="24" xfId="0" applyFont="1" applyFill="1" applyBorder="1"/>
    <xf numFmtId="0" fontId="4" fillId="0" borderId="0" xfId="0" applyFont="1" applyBorder="1" applyAlignment="1">
      <alignment textRotation="90"/>
    </xf>
    <xf numFmtId="0" fontId="4" fillId="9" borderId="1" xfId="0" applyFont="1" applyFill="1" applyBorder="1" applyAlignment="1">
      <alignment textRotation="90"/>
    </xf>
    <xf numFmtId="0" fontId="22" fillId="11" borderId="1" xfId="0" applyFont="1" applyFill="1" applyBorder="1" applyAlignment="1">
      <alignment textRotation="90"/>
    </xf>
    <xf numFmtId="0" fontId="4" fillId="10" borderId="1" xfId="0" applyFont="1" applyFill="1" applyBorder="1" applyAlignment="1">
      <alignment textRotation="90"/>
    </xf>
    <xf numFmtId="0" fontId="22" fillId="12" borderId="1" xfId="0" applyFont="1" applyFill="1" applyBorder="1" applyAlignment="1">
      <alignment textRotation="90"/>
    </xf>
    <xf numFmtId="0" fontId="0" fillId="9" borderId="60" xfId="0" applyFill="1" applyBorder="1"/>
    <xf numFmtId="0" fontId="21" fillId="11" borderId="60" xfId="0" applyFont="1" applyFill="1" applyBorder="1"/>
    <xf numFmtId="0" fontId="0" fillId="10" borderId="60" xfId="0" applyFill="1" applyBorder="1"/>
    <xf numFmtId="0" fontId="0" fillId="0" borderId="61" xfId="0" applyBorder="1"/>
    <xf numFmtId="0" fontId="2" fillId="17" borderId="0" xfId="0" applyFont="1" applyFill="1" applyProtection="1">
      <protection locked="0"/>
    </xf>
    <xf numFmtId="0" fontId="0" fillId="17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17" borderId="0" xfId="0" applyFont="1" applyFill="1" applyAlignment="1" applyProtection="1">
      <alignment horizontal="center"/>
      <protection locked="0"/>
    </xf>
    <xf numFmtId="0" fontId="0" fillId="17" borderId="0" xfId="0" applyFill="1" applyAlignment="1">
      <alignment horizontal="center"/>
    </xf>
    <xf numFmtId="0" fontId="24" fillId="0" borderId="0" xfId="0" applyFont="1"/>
    <xf numFmtId="0" fontId="0" fillId="0" borderId="0" xfId="0" applyAlignment="1">
      <alignment textRotation="90"/>
    </xf>
    <xf numFmtId="0" fontId="13" fillId="8" borderId="29" xfId="0" applyFont="1" applyFill="1" applyBorder="1" applyAlignment="1">
      <alignment textRotation="90"/>
    </xf>
    <xf numFmtId="0" fontId="13" fillId="8" borderId="22" xfId="0" applyFont="1" applyFill="1" applyBorder="1" applyAlignment="1">
      <alignment textRotation="90"/>
    </xf>
    <xf numFmtId="0" fontId="13" fillId="8" borderId="32" xfId="0" applyFont="1" applyFill="1" applyBorder="1" applyAlignment="1">
      <alignment vertical="distributed" readingOrder="1"/>
    </xf>
    <xf numFmtId="0" fontId="4" fillId="6" borderId="9" xfId="0" applyFont="1" applyFill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3" fillId="17" borderId="0" xfId="0" applyFont="1" applyFill="1" applyBorder="1"/>
    <xf numFmtId="0" fontId="27" fillId="17" borderId="0" xfId="0" applyFont="1" applyFill="1"/>
    <xf numFmtId="0" fontId="28" fillId="17" borderId="0" xfId="0" applyFont="1" applyFill="1"/>
    <xf numFmtId="0" fontId="28" fillId="17" borderId="0" xfId="0" applyFont="1" applyFill="1" applyAlignment="1">
      <alignment horizontal="center"/>
    </xf>
    <xf numFmtId="0" fontId="29" fillId="17" borderId="0" xfId="0" applyFont="1" applyFill="1" applyAlignment="1">
      <alignment vertical="top"/>
    </xf>
    <xf numFmtId="0" fontId="30" fillId="17" borderId="0" xfId="0" applyFont="1" applyFill="1"/>
    <xf numFmtId="0" fontId="6" fillId="17" borderId="2" xfId="0" applyFont="1" applyFill="1" applyBorder="1"/>
    <xf numFmtId="0" fontId="4" fillId="17" borderId="3" xfId="0" applyFont="1" applyFill="1" applyBorder="1"/>
    <xf numFmtId="0" fontId="4" fillId="17" borderId="1" xfId="0" applyFont="1" applyFill="1" applyBorder="1"/>
    <xf numFmtId="0" fontId="4" fillId="17" borderId="13" xfId="0" applyFont="1" applyFill="1" applyBorder="1"/>
    <xf numFmtId="0" fontId="4" fillId="17" borderId="22" xfId="0" applyFont="1" applyFill="1" applyBorder="1"/>
    <xf numFmtId="0" fontId="4" fillId="17" borderId="32" xfId="0" applyFont="1" applyFill="1" applyBorder="1"/>
    <xf numFmtId="0" fontId="4" fillId="17" borderId="3" xfId="0" applyFont="1" applyFill="1" applyBorder="1" applyAlignment="1">
      <alignment horizontal="center"/>
    </xf>
    <xf numFmtId="0" fontId="4" fillId="17" borderId="1" xfId="0" applyFont="1" applyFill="1" applyBorder="1" applyAlignment="1">
      <alignment horizontal="center"/>
    </xf>
    <xf numFmtId="0" fontId="4" fillId="17" borderId="13" xfId="0" applyFont="1" applyFill="1" applyBorder="1" applyAlignment="1">
      <alignment horizontal="center"/>
    </xf>
    <xf numFmtId="0" fontId="4" fillId="17" borderId="22" xfId="0" applyFont="1" applyFill="1" applyBorder="1" applyAlignment="1">
      <alignment horizontal="center"/>
    </xf>
    <xf numFmtId="0" fontId="17" fillId="17" borderId="0" xfId="0" applyFont="1" applyFill="1" applyAlignment="1">
      <alignment horizontal="center" vertical="center"/>
    </xf>
    <xf numFmtId="0" fontId="0" fillId="17" borderId="0" xfId="0" applyFill="1" applyAlignment="1">
      <alignment horizontal="center"/>
    </xf>
    <xf numFmtId="0" fontId="3" fillId="17" borderId="0" xfId="0" applyFont="1" applyFill="1" applyAlignment="1">
      <alignment horizontal="center"/>
    </xf>
    <xf numFmtId="164" fontId="4" fillId="17" borderId="21" xfId="0" quotePrefix="1" applyNumberFormat="1" applyFont="1" applyFill="1" applyBorder="1" applyAlignment="1">
      <alignment horizontal="center"/>
    </xf>
    <xf numFmtId="164" fontId="4" fillId="17" borderId="22" xfId="0" applyNumberFormat="1" applyFont="1" applyFill="1" applyBorder="1" applyAlignment="1">
      <alignment horizontal="center"/>
    </xf>
    <xf numFmtId="164" fontId="4" fillId="17" borderId="34" xfId="0" applyNumberFormat="1" applyFont="1" applyFill="1" applyBorder="1" applyAlignment="1">
      <alignment horizontal="center"/>
    </xf>
    <xf numFmtId="0" fontId="33" fillId="17" borderId="0" xfId="0" applyFont="1" applyFill="1" applyAlignment="1">
      <alignment vertical="top"/>
    </xf>
    <xf numFmtId="0" fontId="0" fillId="17" borderId="0" xfId="0" applyFill="1" applyAlignment="1">
      <alignment horizontal="center"/>
    </xf>
    <xf numFmtId="0" fontId="4" fillId="17" borderId="1" xfId="0" applyFont="1" applyFill="1" applyBorder="1" applyAlignment="1">
      <alignment horizontal="right"/>
    </xf>
    <xf numFmtId="0" fontId="4" fillId="17" borderId="13" xfId="0" quotePrefix="1" applyFont="1" applyFill="1" applyBorder="1" applyAlignment="1">
      <alignment horizontal="right"/>
    </xf>
    <xf numFmtId="0" fontId="4" fillId="17" borderId="3" xfId="0" applyFont="1" applyFill="1" applyBorder="1" applyAlignment="1">
      <alignment horizontal="right"/>
    </xf>
    <xf numFmtId="0" fontId="4" fillId="17" borderId="13" xfId="0" applyFont="1" applyFill="1" applyBorder="1" applyAlignment="1">
      <alignment horizontal="right"/>
    </xf>
    <xf numFmtId="0" fontId="4" fillId="17" borderId="22" xfId="0" applyFont="1" applyFill="1" applyBorder="1" applyAlignment="1">
      <alignment horizontal="right"/>
    </xf>
    <xf numFmtId="0" fontId="4" fillId="17" borderId="32" xfId="0" applyFont="1" applyFill="1" applyBorder="1" applyAlignment="1">
      <alignment horizontal="right"/>
    </xf>
    <xf numFmtId="0" fontId="4" fillId="17" borderId="1" xfId="0" quotePrefix="1" applyFont="1" applyFill="1" applyBorder="1" applyAlignment="1">
      <alignment horizontal="center"/>
    </xf>
    <xf numFmtId="0" fontId="4" fillId="17" borderId="13" xfId="0" quotePrefix="1" applyFont="1" applyFill="1" applyBorder="1" applyAlignment="1">
      <alignment horizontal="center"/>
    </xf>
    <xf numFmtId="0" fontId="4" fillId="17" borderId="22" xfId="0" quotePrefix="1" applyFont="1" applyFill="1" applyBorder="1" applyAlignment="1">
      <alignment horizontal="center"/>
    </xf>
    <xf numFmtId="0" fontId="4" fillId="17" borderId="32" xfId="0" quotePrefix="1" applyFont="1" applyFill="1" applyBorder="1" applyAlignment="1">
      <alignment horizontal="center"/>
    </xf>
    <xf numFmtId="0" fontId="4" fillId="17" borderId="3" xfId="0" quotePrefix="1" applyFont="1" applyFill="1" applyBorder="1" applyAlignment="1">
      <alignment horizontal="center"/>
    </xf>
    <xf numFmtId="0" fontId="4" fillId="17" borderId="15" xfId="0" quotePrefix="1" applyFont="1" applyFill="1" applyBorder="1" applyAlignment="1">
      <alignment horizontal="center"/>
    </xf>
    <xf numFmtId="0" fontId="4" fillId="17" borderId="29" xfId="0" quotePrefix="1" applyFont="1" applyFill="1" applyBorder="1" applyAlignment="1">
      <alignment horizontal="center"/>
    </xf>
    <xf numFmtId="1" fontId="4" fillId="17" borderId="9" xfId="0" applyNumberFormat="1" applyFont="1" applyFill="1" applyBorder="1" applyAlignment="1">
      <alignment horizontal="center"/>
    </xf>
    <xf numFmtId="0" fontId="4" fillId="17" borderId="0" xfId="0" applyFont="1" applyFill="1" applyBorder="1"/>
    <xf numFmtId="0" fontId="4" fillId="17" borderId="0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0" fontId="4" fillId="21" borderId="1" xfId="0" applyFont="1" applyFill="1" applyBorder="1" applyAlignment="1">
      <alignment horizontal="center"/>
    </xf>
    <xf numFmtId="0" fontId="6" fillId="17" borderId="2" xfId="0" quotePrefix="1" applyFont="1" applyFill="1" applyBorder="1" applyAlignment="1">
      <alignment horizontal="left"/>
    </xf>
    <xf numFmtId="0" fontId="4" fillId="17" borderId="32" xfId="0" applyFont="1" applyFill="1" applyBorder="1" applyAlignment="1">
      <alignment horizontal="center"/>
    </xf>
    <xf numFmtId="0" fontId="4" fillId="17" borderId="15" xfId="0" applyFont="1" applyFill="1" applyBorder="1" applyAlignment="1">
      <alignment horizontal="center"/>
    </xf>
    <xf numFmtId="0" fontId="4" fillId="17" borderId="29" xfId="0" applyFont="1" applyFill="1" applyBorder="1" applyAlignment="1">
      <alignment horizontal="center"/>
    </xf>
    <xf numFmtId="164" fontId="4" fillId="17" borderId="9" xfId="0" applyNumberFormat="1" applyFont="1" applyFill="1" applyBorder="1" applyAlignment="1">
      <alignment horizontal="center"/>
    </xf>
    <xf numFmtId="0" fontId="11" fillId="17" borderId="0" xfId="0" applyFont="1" applyFill="1"/>
    <xf numFmtId="0" fontId="3" fillId="0" borderId="0" xfId="0" applyFont="1"/>
    <xf numFmtId="164" fontId="3" fillId="17" borderId="0" xfId="0" applyNumberFormat="1" applyFont="1" applyFill="1"/>
    <xf numFmtId="0" fontId="3" fillId="0" borderId="0" xfId="0" applyFont="1" applyFill="1" applyBorder="1" applyAlignment="1">
      <alignment horizontal="right"/>
    </xf>
    <xf numFmtId="0" fontId="0" fillId="17" borderId="0" xfId="0" applyFill="1" applyAlignment="1">
      <alignment horizontal="center"/>
    </xf>
    <xf numFmtId="0" fontId="27" fillId="0" borderId="0" xfId="0" applyFont="1" applyFill="1"/>
    <xf numFmtId="0" fontId="0" fillId="0" borderId="0" xfId="0" applyFill="1"/>
    <xf numFmtId="164" fontId="3" fillId="0" borderId="0" xfId="0" applyNumberFormat="1" applyFont="1" applyFill="1"/>
    <xf numFmtId="0" fontId="13" fillId="17" borderId="0" xfId="0" applyFont="1" applyFill="1" applyBorder="1" applyAlignment="1"/>
    <xf numFmtId="0" fontId="0" fillId="22" borderId="0" xfId="0" applyFill="1"/>
    <xf numFmtId="0" fontId="13" fillId="23" borderId="32" xfId="0" applyFont="1" applyFill="1" applyBorder="1" applyAlignment="1"/>
    <xf numFmtId="0" fontId="13" fillId="23" borderId="33" xfId="0" applyFont="1" applyFill="1" applyBorder="1" applyAlignment="1"/>
    <xf numFmtId="0" fontId="36" fillId="24" borderId="49" xfId="0" applyFont="1" applyFill="1" applyBorder="1" applyAlignment="1"/>
    <xf numFmtId="0" fontId="36" fillId="24" borderId="49" xfId="0" quotePrefix="1" applyFont="1" applyFill="1" applyBorder="1" applyAlignment="1"/>
    <xf numFmtId="0" fontId="13" fillId="23" borderId="0" xfId="0" applyFont="1" applyFill="1" applyBorder="1" applyAlignment="1"/>
    <xf numFmtId="1" fontId="0" fillId="17" borderId="0" xfId="0" applyNumberFormat="1" applyFill="1"/>
    <xf numFmtId="0" fontId="36" fillId="24" borderId="54" xfId="0" applyFont="1" applyFill="1" applyBorder="1" applyAlignment="1"/>
    <xf numFmtId="0" fontId="9" fillId="0" borderId="1" xfId="0" applyFont="1" applyBorder="1" applyAlignment="1">
      <alignment horizontal="center"/>
    </xf>
    <xf numFmtId="0" fontId="9" fillId="0" borderId="1" xfId="0" quotePrefix="1" applyFont="1" applyBorder="1" applyAlignment="1">
      <alignment horizontal="center"/>
    </xf>
    <xf numFmtId="0" fontId="36" fillId="24" borderId="1" xfId="0" applyFont="1" applyFill="1" applyBorder="1" applyAlignment="1"/>
    <xf numFmtId="0" fontId="3" fillId="17" borderId="1" xfId="0" applyFont="1" applyFill="1" applyBorder="1"/>
    <xf numFmtId="0" fontId="0" fillId="17" borderId="1" xfId="0" applyFill="1" applyBorder="1"/>
    <xf numFmtId="0" fontId="4" fillId="17" borderId="1" xfId="0" applyFont="1" applyFill="1" applyBorder="1" applyAlignment="1"/>
    <xf numFmtId="0" fontId="3" fillId="17" borderId="1" xfId="0" applyFont="1" applyFill="1" applyBorder="1" applyAlignment="1"/>
    <xf numFmtId="0" fontId="2" fillId="24" borderId="1" xfId="0" applyFont="1" applyFill="1" applyBorder="1" applyAlignment="1">
      <alignment horizontal="center"/>
    </xf>
    <xf numFmtId="0" fontId="0" fillId="22" borderId="1" xfId="0" applyFill="1" applyBorder="1"/>
    <xf numFmtId="0" fontId="36" fillId="17" borderId="0" xfId="0" applyFont="1" applyFill="1" applyBorder="1" applyAlignment="1"/>
    <xf numFmtId="0" fontId="36" fillId="17" borderId="0" xfId="0" quotePrefix="1" applyFont="1" applyFill="1" applyBorder="1" applyAlignment="1"/>
    <xf numFmtId="0" fontId="3" fillId="24" borderId="1" xfId="0" applyFont="1" applyFill="1" applyBorder="1"/>
    <xf numFmtId="0" fontId="3" fillId="17" borderId="1" xfId="0" applyFont="1" applyFill="1" applyBorder="1" applyAlignment="1">
      <alignment horizontal="right"/>
    </xf>
    <xf numFmtId="0" fontId="3" fillId="24" borderId="1" xfId="0" applyFont="1" applyFill="1" applyBorder="1" applyAlignment="1">
      <alignment horizontal="right"/>
    </xf>
    <xf numFmtId="0" fontId="0" fillId="17" borderId="1" xfId="0" applyFill="1" applyBorder="1" applyAlignment="1">
      <alignment horizontal="right"/>
    </xf>
    <xf numFmtId="0" fontId="13" fillId="14" borderId="29" xfId="0" applyFont="1" applyFill="1" applyBorder="1" applyAlignment="1">
      <alignment horizontal="center"/>
    </xf>
    <xf numFmtId="0" fontId="0" fillId="17" borderId="0" xfId="0" applyFill="1" applyAlignment="1">
      <alignment horizontal="center"/>
    </xf>
    <xf numFmtId="0" fontId="13" fillId="14" borderId="29" xfId="0" applyFont="1" applyFill="1" applyBorder="1" applyAlignment="1">
      <alignment horizontal="left"/>
    </xf>
    <xf numFmtId="0" fontId="34" fillId="20" borderId="0" xfId="0" applyFont="1" applyFill="1" applyAlignment="1">
      <alignment horizontal="center"/>
    </xf>
    <xf numFmtId="0" fontId="9" fillId="0" borderId="0" xfId="0" applyFont="1" applyBorder="1" applyAlignment="1">
      <alignment horizontal="center"/>
    </xf>
    <xf numFmtId="0" fontId="3" fillId="0" borderId="0" xfId="0" applyFont="1" applyBorder="1" applyAlignment="1"/>
    <xf numFmtId="0" fontId="9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13" fillId="9" borderId="32" xfId="0" applyFont="1" applyFill="1" applyBorder="1" applyAlignment="1">
      <alignment horizontal="center"/>
    </xf>
    <xf numFmtId="0" fontId="13" fillId="9" borderId="29" xfId="0" applyFont="1" applyFill="1" applyBorder="1" applyAlignment="1">
      <alignment horizontal="center"/>
    </xf>
    <xf numFmtId="0" fontId="13" fillId="9" borderId="22" xfId="0" applyFont="1" applyFill="1" applyBorder="1" applyAlignment="1">
      <alignment horizontal="center"/>
    </xf>
    <xf numFmtId="0" fontId="13" fillId="15" borderId="32" xfId="0" applyFont="1" applyFill="1" applyBorder="1" applyAlignment="1">
      <alignment horizontal="center"/>
    </xf>
    <xf numFmtId="0" fontId="13" fillId="15" borderId="29" xfId="0" applyFont="1" applyFill="1" applyBorder="1" applyAlignment="1">
      <alignment horizontal="center"/>
    </xf>
    <xf numFmtId="0" fontId="13" fillId="15" borderId="22" xfId="0" applyFont="1" applyFill="1" applyBorder="1" applyAlignment="1">
      <alignment horizontal="center"/>
    </xf>
    <xf numFmtId="0" fontId="13" fillId="16" borderId="32" xfId="0" applyFont="1" applyFill="1" applyBorder="1" applyAlignment="1">
      <alignment horizontal="center"/>
    </xf>
    <xf numFmtId="0" fontId="13" fillId="16" borderId="29" xfId="0" applyFont="1" applyFill="1" applyBorder="1" applyAlignment="1">
      <alignment horizontal="center"/>
    </xf>
    <xf numFmtId="0" fontId="13" fillId="16" borderId="22" xfId="0" applyFont="1" applyFill="1" applyBorder="1" applyAlignment="1">
      <alignment horizontal="center"/>
    </xf>
    <xf numFmtId="0" fontId="9" fillId="15" borderId="49" xfId="0" applyFont="1" applyFill="1" applyBorder="1" applyAlignment="1">
      <alignment horizontal="center"/>
    </xf>
    <xf numFmtId="0" fontId="3" fillId="15" borderId="54" xfId="0" applyFont="1" applyFill="1" applyBorder="1" applyAlignment="1">
      <alignment horizontal="center"/>
    </xf>
    <xf numFmtId="0" fontId="3" fillId="15" borderId="55" xfId="0" applyFont="1" applyFill="1" applyBorder="1" applyAlignment="1">
      <alignment horizontal="center"/>
    </xf>
    <xf numFmtId="0" fontId="12" fillId="2" borderId="0" xfId="0" applyFont="1" applyFill="1" applyAlignment="1">
      <alignment horizontal="center" wrapText="1"/>
    </xf>
    <xf numFmtId="0" fontId="9" fillId="0" borderId="0" xfId="0" quotePrefix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3" fillId="6" borderId="32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13" fillId="6" borderId="22" xfId="0" applyFont="1" applyFill="1" applyBorder="1" applyAlignment="1">
      <alignment horizontal="center"/>
    </xf>
    <xf numFmtId="0" fontId="13" fillId="6" borderId="33" xfId="0" applyFont="1" applyFill="1" applyBorder="1" applyAlignment="1">
      <alignment horizontal="center"/>
    </xf>
    <xf numFmtId="0" fontId="13" fillId="6" borderId="42" xfId="0" applyFont="1" applyFill="1" applyBorder="1" applyAlignment="1">
      <alignment horizontal="center"/>
    </xf>
    <xf numFmtId="0" fontId="13" fillId="8" borderId="32" xfId="0" applyFont="1" applyFill="1" applyBorder="1" applyAlignment="1">
      <alignment horizontal="center"/>
    </xf>
    <xf numFmtId="0" fontId="13" fillId="8" borderId="29" xfId="0" applyFont="1" applyFill="1" applyBorder="1" applyAlignment="1">
      <alignment horizontal="center"/>
    </xf>
    <xf numFmtId="0" fontId="13" fillId="8" borderId="22" xfId="0" applyFont="1" applyFill="1" applyBorder="1" applyAlignment="1">
      <alignment horizontal="center"/>
    </xf>
    <xf numFmtId="0" fontId="13" fillId="15" borderId="33" xfId="0" applyFont="1" applyFill="1" applyBorder="1" applyAlignment="1">
      <alignment horizontal="center"/>
    </xf>
    <xf numFmtId="0" fontId="13" fillId="15" borderId="42" xfId="0" applyFont="1" applyFill="1" applyBorder="1" applyAlignment="1">
      <alignment horizontal="center"/>
    </xf>
    <xf numFmtId="0" fontId="13" fillId="18" borderId="32" xfId="0" applyFont="1" applyFill="1" applyBorder="1" applyAlignment="1">
      <alignment horizontal="center"/>
    </xf>
    <xf numFmtId="0" fontId="13" fillId="18" borderId="29" xfId="0" applyFont="1" applyFill="1" applyBorder="1" applyAlignment="1">
      <alignment horizontal="center"/>
    </xf>
    <xf numFmtId="0" fontId="13" fillId="18" borderId="22" xfId="0" applyFont="1" applyFill="1" applyBorder="1" applyAlignment="1">
      <alignment horizontal="center"/>
    </xf>
    <xf numFmtId="0" fontId="13" fillId="19" borderId="32" xfId="0" applyFont="1" applyFill="1" applyBorder="1" applyAlignment="1">
      <alignment horizontal="center"/>
    </xf>
    <xf numFmtId="0" fontId="13" fillId="19" borderId="29" xfId="0" applyFont="1" applyFill="1" applyBorder="1" applyAlignment="1">
      <alignment horizontal="center"/>
    </xf>
    <xf numFmtId="0" fontId="13" fillId="19" borderId="22" xfId="0" applyFont="1" applyFill="1" applyBorder="1" applyAlignment="1">
      <alignment horizontal="center"/>
    </xf>
    <xf numFmtId="0" fontId="4" fillId="0" borderId="0" xfId="0" applyFont="1" applyBorder="1" applyAlignment="1"/>
    <xf numFmtId="0" fontId="3" fillId="0" borderId="0" xfId="0" applyFont="1" applyAlignment="1"/>
    <xf numFmtId="0" fontId="9" fillId="9" borderId="49" xfId="0" quotePrefix="1" applyFont="1" applyFill="1" applyBorder="1" applyAlignment="1">
      <alignment horizontal="center"/>
    </xf>
    <xf numFmtId="0" fontId="3" fillId="9" borderId="54" xfId="0" applyFont="1" applyFill="1" applyBorder="1" applyAlignment="1"/>
    <xf numFmtId="0" fontId="3" fillId="9" borderId="55" xfId="0" applyFont="1" applyFill="1" applyBorder="1" applyAlignment="1"/>
    <xf numFmtId="0" fontId="9" fillId="0" borderId="49" xfId="0" quotePrefix="1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9" fillId="6" borderId="49" xfId="0" applyFont="1" applyFill="1" applyBorder="1" applyAlignment="1">
      <alignment horizontal="center"/>
    </xf>
    <xf numFmtId="0" fontId="3" fillId="6" borderId="54" xfId="0" applyFont="1" applyFill="1" applyBorder="1" applyAlignment="1">
      <alignment horizontal="center"/>
    </xf>
    <xf numFmtId="0" fontId="9" fillId="0" borderId="49" xfId="0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9" fillId="16" borderId="49" xfId="0" applyFont="1" applyFill="1" applyBorder="1" applyAlignment="1">
      <alignment horizontal="center"/>
    </xf>
    <xf numFmtId="0" fontId="3" fillId="16" borderId="54" xfId="0" applyFont="1" applyFill="1" applyBorder="1" applyAlignment="1">
      <alignment horizontal="center"/>
    </xf>
    <xf numFmtId="0" fontId="3" fillId="16" borderId="55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6" borderId="55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1" fillId="17" borderId="0" xfId="0" applyFont="1" applyFill="1" applyBorder="1" applyAlignment="1" applyProtection="1">
      <alignment horizontal="left"/>
      <protection locked="0"/>
    </xf>
    <xf numFmtId="0" fontId="2" fillId="17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0" fontId="23" fillId="17" borderId="0" xfId="0" applyFont="1" applyFill="1" applyAlignment="1">
      <alignment horizontal="center"/>
    </xf>
    <xf numFmtId="0" fontId="3" fillId="17" borderId="0" xfId="0" applyFont="1" applyFill="1" applyAlignment="1">
      <alignment horizontal="center"/>
    </xf>
    <xf numFmtId="0" fontId="25" fillId="17" borderId="0" xfId="0" applyFont="1" applyFill="1" applyAlignment="1">
      <alignment horizontal="center"/>
    </xf>
    <xf numFmtId="0" fontId="35" fillId="17" borderId="0" xfId="0" applyFont="1" applyFill="1" applyAlignment="1">
      <alignment horizontal="center"/>
    </xf>
    <xf numFmtId="0" fontId="37" fillId="17" borderId="42" xfId="0" applyFont="1" applyFill="1" applyBorder="1" applyAlignment="1">
      <alignment horizontal="center"/>
    </xf>
    <xf numFmtId="0" fontId="11" fillId="17" borderId="0" xfId="0" applyFont="1" applyFill="1" applyAlignment="1">
      <alignment horizontal="center"/>
    </xf>
    <xf numFmtId="0" fontId="4" fillId="0" borderId="33" xfId="0" applyFont="1" applyFill="1" applyBorder="1" applyAlignment="1">
      <alignment horizontal="center"/>
    </xf>
    <xf numFmtId="0" fontId="4" fillId="0" borderId="23" xfId="0" applyFont="1" applyFill="1" applyBorder="1" applyAlignment="1">
      <alignment horizontal="center"/>
    </xf>
    <xf numFmtId="0" fontId="4" fillId="0" borderId="25" xfId="0" applyFont="1" applyFill="1" applyBorder="1" applyAlignment="1">
      <alignment horizontal="center"/>
    </xf>
    <xf numFmtId="0" fontId="4" fillId="0" borderId="43" xfId="0" applyFont="1" applyFill="1" applyBorder="1" applyAlignment="1">
      <alignment horizontal="center"/>
    </xf>
    <xf numFmtId="0" fontId="4" fillId="0" borderId="38" xfId="0" applyFont="1" applyFill="1" applyBorder="1" applyAlignment="1">
      <alignment horizontal="center"/>
    </xf>
    <xf numFmtId="0" fontId="4" fillId="0" borderId="44" xfId="0" applyFont="1" applyFill="1" applyBorder="1" applyAlignment="1">
      <alignment horizontal="center"/>
    </xf>
  </cellXfs>
  <cellStyles count="5">
    <cellStyle name="Normal" xfId="0" builtinId="0"/>
    <cellStyle name="Normal 2" xfId="3"/>
    <cellStyle name="Normal 3" xfId="2"/>
    <cellStyle name="Porcentaje" xfId="1" builtinId="5"/>
    <cellStyle name="Porcentaje 2" xfId="4"/>
  </cellStyles>
  <dxfs count="322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DC619"/>
      <color rgb="FFDD61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9703632"/>
        <c:axId val="1599699824"/>
      </c:lineChart>
      <c:catAx>
        <c:axId val="1599703632"/>
        <c:scaling>
          <c:orientation val="minMax"/>
        </c:scaling>
        <c:delete val="0"/>
        <c:axPos val="b"/>
        <c:majorTickMark val="out"/>
        <c:minorTickMark val="none"/>
        <c:tickLblPos val="nextTo"/>
        <c:crossAx val="1599699824"/>
        <c:crosses val="autoZero"/>
        <c:auto val="1"/>
        <c:lblAlgn val="ctr"/>
        <c:lblOffset val="100"/>
        <c:noMultiLvlLbl val="0"/>
      </c:catAx>
      <c:valAx>
        <c:axId val="1599699824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5997036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4"/>
              <c:layout>
                <c:manualLayout>
                  <c:x val="1.0561056105610561E-2"/>
                  <c:y val="-3.405704098483308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'Crec x Carrera'!$A$7:$A$26</c:f>
              <c:strCache>
                <c:ptCount val="20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</c:strCache>
            </c:strRef>
          </c:cat>
          <c:val>
            <c:numRef>
              <c:f>'Crec x Carrera'!$B$7:$B$26</c:f>
              <c:numCache>
                <c:formatCode>General</c:formatCode>
                <c:ptCount val="20"/>
                <c:pt idx="0">
                  <c:v>2352</c:v>
                </c:pt>
                <c:pt idx="1">
                  <c:v>2535</c:v>
                </c:pt>
                <c:pt idx="2">
                  <c:v>2430</c:v>
                </c:pt>
                <c:pt idx="3">
                  <c:v>2962</c:v>
                </c:pt>
                <c:pt idx="4">
                  <c:v>2620</c:v>
                </c:pt>
                <c:pt idx="5">
                  <c:v>3100</c:v>
                </c:pt>
                <c:pt idx="6">
                  <c:v>2873</c:v>
                </c:pt>
                <c:pt idx="7">
                  <c:v>3233</c:v>
                </c:pt>
                <c:pt idx="8">
                  <c:v>2942</c:v>
                </c:pt>
                <c:pt idx="9">
                  <c:v>3317</c:v>
                </c:pt>
                <c:pt idx="10">
                  <c:v>3282</c:v>
                </c:pt>
                <c:pt idx="11">
                  <c:v>3630</c:v>
                </c:pt>
                <c:pt idx="12">
                  <c:v>3579</c:v>
                </c:pt>
                <c:pt idx="13">
                  <c:v>4066</c:v>
                </c:pt>
                <c:pt idx="14">
                  <c:v>3842</c:v>
                </c:pt>
                <c:pt idx="15">
                  <c:v>4306</c:v>
                </c:pt>
                <c:pt idx="16">
                  <c:v>4064</c:v>
                </c:pt>
                <c:pt idx="17">
                  <c:v>4212</c:v>
                </c:pt>
                <c:pt idx="18">
                  <c:v>4084</c:v>
                </c:pt>
                <c:pt idx="19">
                  <c:v>4172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1599700368"/>
        <c:axId val="1599704720"/>
        <c:axId val="0"/>
      </c:bar3DChart>
      <c:catAx>
        <c:axId val="15997003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599704720"/>
        <c:crosses val="autoZero"/>
        <c:auto val="1"/>
        <c:lblAlgn val="ctr"/>
        <c:lblOffset val="100"/>
        <c:noMultiLvlLbl val="0"/>
      </c:catAx>
      <c:valAx>
        <c:axId val="15997047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59970036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88886414156633"/>
          <c:y val="4.044633765041665E-2"/>
          <c:w val="0.86545556181517247"/>
          <c:h val="0.63832652066032725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Pt>
            <c:idx val="0"/>
            <c:marker/>
            <c:bubble3D val="0"/>
            <c:spPr>
              <a:ln>
                <a:solidFill>
                  <a:srgbClr val="0070C0"/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6"/>
            <c:marker/>
            <c:bubble3D val="0"/>
            <c:spPr>
              <a:ln>
                <a:solidFill>
                  <a:schemeClr val="accent1">
                    <a:lumMod val="75000"/>
                  </a:schemeClr>
                </a:solidFill>
              </a:ln>
            </c:spPr>
          </c:dPt>
          <c:dPt>
            <c:idx val="17"/>
            <c:marker/>
            <c:bubble3D val="0"/>
            <c:spPr>
              <a:ln>
                <a:solidFill>
                  <a:srgbClr val="0070C0"/>
                </a:solidFill>
              </a:ln>
            </c:spPr>
          </c:dPt>
          <c:dPt>
            <c:idx val="18"/>
            <c:marker/>
            <c:bubble3D val="0"/>
            <c:spPr>
              <a:ln>
                <a:solidFill>
                  <a:srgbClr val="0070C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Carrera'!$A$7:$A$37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Carrera'!$B$7:$B$37</c:f>
              <c:numCache>
                <c:formatCode>General</c:formatCode>
                <c:ptCount val="31"/>
                <c:pt idx="0">
                  <c:v>2352</c:v>
                </c:pt>
                <c:pt idx="1">
                  <c:v>2535</c:v>
                </c:pt>
                <c:pt idx="2">
                  <c:v>2430</c:v>
                </c:pt>
                <c:pt idx="3">
                  <c:v>2962</c:v>
                </c:pt>
                <c:pt idx="4">
                  <c:v>2620</c:v>
                </c:pt>
                <c:pt idx="5">
                  <c:v>3100</c:v>
                </c:pt>
                <c:pt idx="6">
                  <c:v>2873</c:v>
                </c:pt>
                <c:pt idx="7">
                  <c:v>3233</c:v>
                </c:pt>
                <c:pt idx="8">
                  <c:v>2942</c:v>
                </c:pt>
                <c:pt idx="9">
                  <c:v>3317</c:v>
                </c:pt>
                <c:pt idx="10">
                  <c:v>3282</c:v>
                </c:pt>
                <c:pt idx="11">
                  <c:v>3630</c:v>
                </c:pt>
                <c:pt idx="12">
                  <c:v>3579</c:v>
                </c:pt>
                <c:pt idx="13">
                  <c:v>4066</c:v>
                </c:pt>
                <c:pt idx="14">
                  <c:v>3842</c:v>
                </c:pt>
                <c:pt idx="15">
                  <c:v>4306</c:v>
                </c:pt>
                <c:pt idx="16">
                  <c:v>4064</c:v>
                </c:pt>
                <c:pt idx="17">
                  <c:v>4212</c:v>
                </c:pt>
                <c:pt idx="18">
                  <c:v>4084</c:v>
                </c:pt>
                <c:pt idx="19">
                  <c:v>4172</c:v>
                </c:pt>
                <c:pt idx="20">
                  <c:v>3998</c:v>
                </c:pt>
                <c:pt idx="21">
                  <c:v>4393</c:v>
                </c:pt>
                <c:pt idx="22">
                  <c:v>4212</c:v>
                </c:pt>
                <c:pt idx="23">
                  <c:v>4608</c:v>
                </c:pt>
                <c:pt idx="24">
                  <c:v>4412</c:v>
                </c:pt>
                <c:pt idx="25">
                  <c:v>4797</c:v>
                </c:pt>
                <c:pt idx="26">
                  <c:v>4601</c:v>
                </c:pt>
                <c:pt idx="27">
                  <c:v>4982</c:v>
                </c:pt>
                <c:pt idx="28">
                  <c:v>4781</c:v>
                </c:pt>
                <c:pt idx="29">
                  <c:v>5157</c:v>
                </c:pt>
                <c:pt idx="30">
                  <c:v>4956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1599705264"/>
        <c:axId val="1599705808"/>
      </c:lineChart>
      <c:catAx>
        <c:axId val="1599705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Períodos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-5400000"/>
          <a:lstStyle/>
          <a:p>
            <a:pPr>
              <a:defRPr/>
            </a:pPr>
            <a:endParaRPr lang="es-ES"/>
          </a:p>
        </c:txPr>
        <c:crossAx val="1599705808"/>
        <c:crosses val="autoZero"/>
        <c:auto val="1"/>
        <c:lblAlgn val="ctr"/>
        <c:lblOffset val="100"/>
        <c:noMultiLvlLbl val="0"/>
      </c:catAx>
      <c:valAx>
        <c:axId val="15997058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599705264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(Por</a:t>
            </a:r>
            <a:r>
              <a:rPr lang="es-MX" baseline="0"/>
              <a:t> Carrera)</a:t>
            </a:r>
            <a:endParaRPr lang="es-MX"/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7768561108079313E-2"/>
          <c:y val="0.11724849721779322"/>
          <c:w val="0.87811244526608589"/>
          <c:h val="0.5212074564589740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ING. MECÁNICA</c:v>
                </c:pt>
              </c:strCache>
            </c:strRef>
          </c:tx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cat>
            <c:strRef>
              <c:f>'Crec x Depto'!$S$5:$S$24</c:f>
              <c:strCache>
                <c:ptCount val="20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</c:strCache>
            </c:strRef>
          </c:cat>
          <c:val>
            <c:numRef>
              <c:f>'Crec x Depto'!$T$5:$T$24</c:f>
              <c:numCache>
                <c:formatCode>General</c:formatCode>
                <c:ptCount val="20"/>
                <c:pt idx="0">
                  <c:v>11</c:v>
                </c:pt>
                <c:pt idx="1">
                  <c:v>70</c:v>
                </c:pt>
                <c:pt idx="2">
                  <c:v>86</c:v>
                </c:pt>
                <c:pt idx="3">
                  <c:v>161</c:v>
                </c:pt>
                <c:pt idx="4">
                  <c:v>147</c:v>
                </c:pt>
                <c:pt idx="5">
                  <c:v>209</c:v>
                </c:pt>
                <c:pt idx="6">
                  <c:v>189</c:v>
                </c:pt>
                <c:pt idx="7">
                  <c:v>245</c:v>
                </c:pt>
                <c:pt idx="8">
                  <c:v>229</c:v>
                </c:pt>
                <c:pt idx="9">
                  <c:v>317</c:v>
                </c:pt>
                <c:pt idx="10">
                  <c:v>321</c:v>
                </c:pt>
                <c:pt idx="11">
                  <c:v>401</c:v>
                </c:pt>
                <c:pt idx="12">
                  <c:v>408</c:v>
                </c:pt>
                <c:pt idx="13">
                  <c:v>472</c:v>
                </c:pt>
                <c:pt idx="14">
                  <c:v>451</c:v>
                </c:pt>
                <c:pt idx="15">
                  <c:v>518</c:v>
                </c:pt>
                <c:pt idx="16">
                  <c:v>496</c:v>
                </c:pt>
                <c:pt idx="17">
                  <c:v>521</c:v>
                </c:pt>
                <c:pt idx="18">
                  <c:v>515</c:v>
                </c:pt>
                <c:pt idx="19">
                  <c:v>531</c:v>
                </c:pt>
              </c:numCache>
            </c:numRef>
          </c:val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MECATRÓNICA</c:v>
                </c:pt>
              </c:strCache>
            </c:strRef>
          </c:tx>
          <c:spPr>
            <a:gradFill flip="none" rotWithShape="1">
              <a:gsLst>
                <a:gs pos="0">
                  <a:srgbClr val="E6DCAC"/>
                </a:gs>
                <a:gs pos="12000">
                  <a:srgbClr val="E6D78A"/>
                </a:gs>
                <a:gs pos="30000">
                  <a:srgbClr val="C7AC4C"/>
                </a:gs>
                <a:gs pos="45000">
                  <a:srgbClr val="E6D78A"/>
                </a:gs>
                <a:gs pos="77000">
                  <a:srgbClr val="C7AC4C"/>
                </a:gs>
                <a:gs pos="100000">
                  <a:srgbClr val="E6DCAC"/>
                </a:gs>
              </a:gsLst>
              <a:lin ang="2700000" scaled="0"/>
              <a:tileRect/>
            </a:gradFill>
          </c:spPr>
          <c:invertIfNegative val="0"/>
          <c:cat>
            <c:strRef>
              <c:f>'Crec x Depto'!$S$5:$S$24</c:f>
              <c:strCache>
                <c:ptCount val="20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</c:strCache>
            </c:strRef>
          </c:cat>
          <c:val>
            <c:numRef>
              <c:f>'Crec x Depto'!$U$5:$U$24</c:f>
              <c:numCache>
                <c:formatCode>General</c:formatCode>
                <c:ptCount val="20"/>
                <c:pt idx="0">
                  <c:v>25</c:v>
                </c:pt>
                <c:pt idx="1">
                  <c:v>136</c:v>
                </c:pt>
                <c:pt idx="2">
                  <c:v>168</c:v>
                </c:pt>
                <c:pt idx="3">
                  <c:v>314</c:v>
                </c:pt>
                <c:pt idx="4">
                  <c:v>319</c:v>
                </c:pt>
                <c:pt idx="5">
                  <c:v>421</c:v>
                </c:pt>
                <c:pt idx="6">
                  <c:v>415</c:v>
                </c:pt>
                <c:pt idx="7">
                  <c:v>462</c:v>
                </c:pt>
                <c:pt idx="8">
                  <c:v>478</c:v>
                </c:pt>
                <c:pt idx="9">
                  <c:v>547</c:v>
                </c:pt>
                <c:pt idx="10">
                  <c:v>555</c:v>
                </c:pt>
                <c:pt idx="11">
                  <c:v>623</c:v>
                </c:pt>
                <c:pt idx="12">
                  <c:v>590</c:v>
                </c:pt>
                <c:pt idx="13">
                  <c:v>678</c:v>
                </c:pt>
                <c:pt idx="14">
                  <c:v>631</c:v>
                </c:pt>
                <c:pt idx="15">
                  <c:v>684</c:v>
                </c:pt>
                <c:pt idx="16">
                  <c:v>653</c:v>
                </c:pt>
                <c:pt idx="17">
                  <c:v>653</c:v>
                </c:pt>
                <c:pt idx="18">
                  <c:v>620</c:v>
                </c:pt>
                <c:pt idx="19">
                  <c:v>604</c:v>
                </c:pt>
              </c:numCache>
            </c:numRef>
          </c:val>
        </c:ser>
        <c:ser>
          <c:idx val="2"/>
          <c:order val="2"/>
          <c:tx>
            <c:strRef>
              <c:f>'Crec x Depto'!$V$4</c:f>
              <c:strCache>
                <c:ptCount val="1"/>
                <c:pt idx="0">
                  <c:v>ING. EN MATERIALES</c:v>
                </c:pt>
              </c:strCache>
            </c:strRef>
          </c:tx>
          <c:invertIfNegative val="0"/>
          <c:cat>
            <c:strRef>
              <c:f>'Crec x Depto'!$S$5:$S$24</c:f>
              <c:strCache>
                <c:ptCount val="20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</c:strCache>
            </c:strRef>
          </c:cat>
          <c:val>
            <c:numRef>
              <c:f>'Crec x Depto'!$V$5:$V$24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34</c:v>
                </c:pt>
                <c:pt idx="14">
                  <c:v>28</c:v>
                </c:pt>
                <c:pt idx="15">
                  <c:v>70</c:v>
                </c:pt>
                <c:pt idx="16">
                  <c:v>48</c:v>
                </c:pt>
                <c:pt idx="17">
                  <c:v>82</c:v>
                </c:pt>
                <c:pt idx="18">
                  <c:v>51</c:v>
                </c:pt>
                <c:pt idx="19">
                  <c:v>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gapDepth val="77"/>
        <c:shape val="cylinder"/>
        <c:axId val="1414053024"/>
        <c:axId val="1675273088"/>
        <c:axId val="0"/>
      </c:bar3DChart>
      <c:catAx>
        <c:axId val="1414053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675273088"/>
        <c:crosses val="autoZero"/>
        <c:auto val="1"/>
        <c:lblAlgn val="ctr"/>
        <c:lblOffset val="100"/>
        <c:noMultiLvlLbl val="0"/>
      </c:catAx>
      <c:valAx>
        <c:axId val="167527308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4140530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2007120397079038E-2"/>
          <c:y val="0.78801978097348391"/>
          <c:w val="0.97799282175419677"/>
          <c:h val="0.21198014818142866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674338784575"/>
          <c:y val="0.11552722903743122"/>
          <c:w val="0.83913121116270728"/>
          <c:h val="0.57228717726590661"/>
        </c:manualLayout>
      </c:layout>
      <c:lineChart>
        <c:grouping val="standar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ING. MECÁNICA</c:v>
                </c:pt>
              </c:strCache>
            </c:strRef>
          </c:tx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2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3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6"/>
            <c:marker/>
            <c:bubble3D val="0"/>
            <c:spPr>
              <a:ln>
                <a:solidFill>
                  <a:srgbClr val="0070C0"/>
                </a:solidFill>
              </a:ln>
            </c:spPr>
          </c:dPt>
          <c:dPt>
            <c:idx val="17"/>
            <c:marker/>
            <c:bubble3D val="0"/>
            <c:spPr>
              <a:ln>
                <a:solidFill>
                  <a:srgbClr val="0070C0"/>
                </a:solidFill>
              </a:ln>
            </c:spPr>
          </c:dPt>
          <c:dPt>
            <c:idx val="18"/>
            <c:marker/>
            <c:bubble3D val="0"/>
            <c:spPr>
              <a:ln>
                <a:solidFill>
                  <a:srgbClr val="0070C0"/>
                </a:solidFill>
              </a:ln>
            </c:spPr>
          </c:dPt>
          <c:dPt>
            <c:idx val="19"/>
            <c:marker/>
            <c:bubble3D val="0"/>
            <c:spPr>
              <a:ln>
                <a:solidFill>
                  <a:srgbClr val="0070C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Depto'!$T$5:$T$35</c:f>
              <c:numCache>
                <c:formatCode>General</c:formatCode>
                <c:ptCount val="31"/>
                <c:pt idx="0">
                  <c:v>11</c:v>
                </c:pt>
                <c:pt idx="1">
                  <c:v>70</c:v>
                </c:pt>
                <c:pt idx="2">
                  <c:v>86</c:v>
                </c:pt>
                <c:pt idx="3">
                  <c:v>161</c:v>
                </c:pt>
                <c:pt idx="4">
                  <c:v>147</c:v>
                </c:pt>
                <c:pt idx="5">
                  <c:v>209</c:v>
                </c:pt>
                <c:pt idx="6">
                  <c:v>189</c:v>
                </c:pt>
                <c:pt idx="7">
                  <c:v>245</c:v>
                </c:pt>
                <c:pt idx="8">
                  <c:v>229</c:v>
                </c:pt>
                <c:pt idx="9">
                  <c:v>317</c:v>
                </c:pt>
                <c:pt idx="10">
                  <c:v>321</c:v>
                </c:pt>
                <c:pt idx="11">
                  <c:v>401</c:v>
                </c:pt>
                <c:pt idx="12">
                  <c:v>408</c:v>
                </c:pt>
                <c:pt idx="13">
                  <c:v>472</c:v>
                </c:pt>
                <c:pt idx="14">
                  <c:v>451</c:v>
                </c:pt>
                <c:pt idx="15">
                  <c:v>518</c:v>
                </c:pt>
                <c:pt idx="16">
                  <c:v>496</c:v>
                </c:pt>
                <c:pt idx="17">
                  <c:v>521</c:v>
                </c:pt>
                <c:pt idx="18">
                  <c:v>515</c:v>
                </c:pt>
                <c:pt idx="19">
                  <c:v>531</c:v>
                </c:pt>
                <c:pt idx="20">
                  <c:v>501</c:v>
                </c:pt>
                <c:pt idx="21">
                  <c:v>531</c:v>
                </c:pt>
                <c:pt idx="22">
                  <c:v>501</c:v>
                </c:pt>
                <c:pt idx="23">
                  <c:v>531</c:v>
                </c:pt>
                <c:pt idx="24">
                  <c:v>501</c:v>
                </c:pt>
                <c:pt idx="25">
                  <c:v>531</c:v>
                </c:pt>
                <c:pt idx="26">
                  <c:v>501</c:v>
                </c:pt>
                <c:pt idx="27">
                  <c:v>531</c:v>
                </c:pt>
                <c:pt idx="28">
                  <c:v>501</c:v>
                </c:pt>
                <c:pt idx="29">
                  <c:v>531</c:v>
                </c:pt>
                <c:pt idx="30">
                  <c:v>501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MECATRÓNICA</c:v>
                </c:pt>
              </c:strCache>
            </c:strRef>
          </c:tx>
          <c:spPr>
            <a:ln>
              <a:solidFill>
                <a:srgbClr val="DDC619"/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1"/>
            <c:bubble3D val="0"/>
          </c:dPt>
          <c:dPt>
            <c:idx val="12"/>
            <c:bubble3D val="0"/>
          </c:dPt>
          <c:dPt>
            <c:idx val="13"/>
            <c:bubble3D val="0"/>
          </c:dPt>
          <c:dPt>
            <c:idx val="14"/>
            <c:bubble3D val="0"/>
            <c:spPr>
              <a:ln w="44450">
                <a:solidFill>
                  <a:srgbClr val="DDC619"/>
                </a:solidFill>
              </a:ln>
            </c:spPr>
          </c:dPt>
          <c:dPt>
            <c:idx val="15"/>
            <c:bubble3D val="0"/>
          </c:dPt>
          <c:dPt>
            <c:idx val="16"/>
            <c:marker/>
            <c:bubble3D val="0"/>
            <c:spPr>
              <a:ln>
                <a:solidFill>
                  <a:srgbClr val="DDC619"/>
                </a:solidFill>
              </a:ln>
            </c:spPr>
          </c:dPt>
          <c:dPt>
            <c:idx val="17"/>
            <c:marker/>
            <c:bubble3D val="0"/>
            <c:spPr>
              <a:ln>
                <a:solidFill>
                  <a:srgbClr val="DDC619"/>
                </a:solidFill>
              </a:ln>
            </c:spPr>
          </c:dPt>
          <c:dPt>
            <c:idx val="18"/>
            <c:marker/>
            <c:bubble3D val="0"/>
            <c:spPr>
              <a:ln>
                <a:solidFill>
                  <a:srgbClr val="DDC619"/>
                </a:solidFill>
              </a:ln>
            </c:spPr>
          </c:dPt>
          <c:dPt>
            <c:idx val="19"/>
            <c:marker/>
            <c:bubble3D val="0"/>
            <c:spPr>
              <a:ln>
                <a:solidFill>
                  <a:srgbClr val="DDC619"/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Depto'!$U$5:$U$35</c:f>
              <c:numCache>
                <c:formatCode>General</c:formatCode>
                <c:ptCount val="31"/>
                <c:pt idx="0">
                  <c:v>25</c:v>
                </c:pt>
                <c:pt idx="1">
                  <c:v>136</c:v>
                </c:pt>
                <c:pt idx="2">
                  <c:v>168</c:v>
                </c:pt>
                <c:pt idx="3">
                  <c:v>314</c:v>
                </c:pt>
                <c:pt idx="4">
                  <c:v>319</c:v>
                </c:pt>
                <c:pt idx="5">
                  <c:v>421</c:v>
                </c:pt>
                <c:pt idx="6">
                  <c:v>415</c:v>
                </c:pt>
                <c:pt idx="7">
                  <c:v>462</c:v>
                </c:pt>
                <c:pt idx="8">
                  <c:v>478</c:v>
                </c:pt>
                <c:pt idx="9">
                  <c:v>547</c:v>
                </c:pt>
                <c:pt idx="10">
                  <c:v>555</c:v>
                </c:pt>
                <c:pt idx="11">
                  <c:v>623</c:v>
                </c:pt>
                <c:pt idx="12">
                  <c:v>590</c:v>
                </c:pt>
                <c:pt idx="13">
                  <c:v>678</c:v>
                </c:pt>
                <c:pt idx="14">
                  <c:v>631</c:v>
                </c:pt>
                <c:pt idx="15">
                  <c:v>684</c:v>
                </c:pt>
                <c:pt idx="16">
                  <c:v>653</c:v>
                </c:pt>
                <c:pt idx="17">
                  <c:v>653</c:v>
                </c:pt>
                <c:pt idx="18">
                  <c:v>620</c:v>
                </c:pt>
                <c:pt idx="19">
                  <c:v>604</c:v>
                </c:pt>
                <c:pt idx="20">
                  <c:v>564</c:v>
                </c:pt>
                <c:pt idx="21">
                  <c:v>654</c:v>
                </c:pt>
                <c:pt idx="22">
                  <c:v>614</c:v>
                </c:pt>
                <c:pt idx="23">
                  <c:v>704</c:v>
                </c:pt>
                <c:pt idx="24">
                  <c:v>664</c:v>
                </c:pt>
                <c:pt idx="25">
                  <c:v>754</c:v>
                </c:pt>
                <c:pt idx="26">
                  <c:v>714</c:v>
                </c:pt>
                <c:pt idx="27">
                  <c:v>804</c:v>
                </c:pt>
                <c:pt idx="28">
                  <c:v>764</c:v>
                </c:pt>
                <c:pt idx="29">
                  <c:v>854</c:v>
                </c:pt>
                <c:pt idx="30">
                  <c:v>814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'Crec x Depto'!$V$4</c:f>
              <c:strCache>
                <c:ptCount val="1"/>
                <c:pt idx="0">
                  <c:v>ING. EN MATERIALES</c:v>
                </c:pt>
              </c:strCache>
            </c:strRef>
          </c:tx>
          <c:marker>
            <c:symbol val="none"/>
          </c:marker>
          <c:dPt>
            <c:idx val="12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3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4"/>
            <c:marker/>
            <c:bubble3D val="0"/>
            <c:spPr>
              <a:ln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5"/>
            <c:marker/>
            <c:bubble3D val="0"/>
            <c:spPr>
              <a:ln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6"/>
            <c:marker/>
            <c:bubble3D val="0"/>
            <c:spPr>
              <a:ln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7"/>
            <c:marker/>
            <c:bubble3D val="0"/>
            <c:spPr>
              <a:ln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8"/>
            <c:marker/>
            <c:bubble3D val="0"/>
            <c:spPr>
              <a:ln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9"/>
            <c:marker/>
            <c:bubble3D val="0"/>
            <c:spPr>
              <a:ln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Depto'!$V$5:$V$35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34</c:v>
                </c:pt>
                <c:pt idx="14">
                  <c:v>28</c:v>
                </c:pt>
                <c:pt idx="15">
                  <c:v>70</c:v>
                </c:pt>
                <c:pt idx="16">
                  <c:v>48</c:v>
                </c:pt>
                <c:pt idx="17">
                  <c:v>82</c:v>
                </c:pt>
                <c:pt idx="18">
                  <c:v>51</c:v>
                </c:pt>
                <c:pt idx="19">
                  <c:v>72</c:v>
                </c:pt>
                <c:pt idx="20">
                  <c:v>102</c:v>
                </c:pt>
                <c:pt idx="21">
                  <c:v>112</c:v>
                </c:pt>
                <c:pt idx="22">
                  <c:v>127</c:v>
                </c:pt>
                <c:pt idx="23">
                  <c:v>137</c:v>
                </c:pt>
                <c:pt idx="24">
                  <c:v>152</c:v>
                </c:pt>
                <c:pt idx="25">
                  <c:v>162</c:v>
                </c:pt>
                <c:pt idx="26">
                  <c:v>177</c:v>
                </c:pt>
                <c:pt idx="27">
                  <c:v>187</c:v>
                </c:pt>
                <c:pt idx="28">
                  <c:v>202</c:v>
                </c:pt>
                <c:pt idx="29">
                  <c:v>212</c:v>
                </c:pt>
                <c:pt idx="30">
                  <c:v>227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>
              <a:solidFill>
                <a:schemeClr val="accent1">
                  <a:lumMod val="20000"/>
                  <a:lumOff val="80000"/>
                </a:schemeClr>
              </a:solidFill>
            </a:ln>
          </c:spPr>
        </c:dropLines>
        <c:smooth val="0"/>
        <c:axId val="1675275808"/>
        <c:axId val="1675267104"/>
      </c:lineChart>
      <c:catAx>
        <c:axId val="1675275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675267104"/>
        <c:crosses val="autoZero"/>
        <c:auto val="1"/>
        <c:lblAlgn val="ctr"/>
        <c:lblOffset val="100"/>
        <c:noMultiLvlLbl val="0"/>
      </c:catAx>
      <c:valAx>
        <c:axId val="16752671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675275808"/>
        <c:crosses val="autoZero"/>
        <c:crossBetween val="between"/>
      </c:valAx>
      <c:spPr>
        <a:ln>
          <a:gradFill>
            <a:gsLst>
              <a:gs pos="0">
                <a:schemeClr val="accent1">
                  <a:lumMod val="20000"/>
                  <a:lumOff val="8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c:spPr>
    </c:plotArea>
    <c:legend>
      <c:legendPos val="r"/>
      <c:layout>
        <c:manualLayout>
          <c:xMode val="edge"/>
          <c:yMode val="edge"/>
          <c:x val="0.11477990892164126"/>
          <c:y val="0.85298289580207187"/>
          <c:w val="0.83507764093590864"/>
          <c:h val="0.10608377292720531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378459271538424E-2"/>
          <c:y val="3.6641969636451853E-2"/>
          <c:w val="0.90761569277524523"/>
          <c:h val="0.69618261059156195"/>
        </c:manualLayout>
      </c:layout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4"/>
            <c:bubble3D val="0"/>
          </c:dPt>
          <c:dPt>
            <c:idx val="15"/>
            <c:bubble3D val="0"/>
          </c:dPt>
          <c:dPt>
            <c:idx val="16"/>
            <c:bubble3D val="0"/>
          </c:dPt>
          <c:dPt>
            <c:idx val="17"/>
            <c:bubble3D val="0"/>
          </c:dPt>
          <c:dPt>
            <c:idx val="18"/>
            <c:bubble3D val="0"/>
          </c:dPt>
          <c:dPt>
            <c:idx val="19"/>
            <c:bubble3D val="0"/>
          </c:dPt>
          <c:dPt>
            <c:idx val="20"/>
            <c:bubble3D val="0"/>
          </c:dPt>
          <c:dPt>
            <c:idx val="21"/>
            <c:bubble3D val="0"/>
          </c:dPt>
          <c:dPt>
            <c:idx val="22"/>
            <c:bubble3D val="0"/>
          </c:dPt>
          <c:dPt>
            <c:idx val="23"/>
            <c:bubble3D val="0"/>
          </c:dPt>
          <c:dPt>
            <c:idx val="24"/>
            <c:bubble3D val="0"/>
          </c:dPt>
          <c:dPt>
            <c:idx val="25"/>
            <c:bubble3D val="0"/>
          </c:dPt>
          <c:dPt>
            <c:idx val="26"/>
            <c:bubble3D val="0"/>
          </c:dPt>
          <c:dPt>
            <c:idx val="27"/>
            <c:bubble3D val="0"/>
          </c:dPt>
          <c:dPt>
            <c:idx val="28"/>
            <c:bubble3D val="0"/>
          </c:dPt>
          <c:dPt>
            <c:idx val="29"/>
            <c:bubble3D val="0"/>
          </c:dPt>
          <c:dPt>
            <c:idx val="30"/>
            <c:bubble3D val="0"/>
          </c:dPt>
          <c:cat>
            <c:strRef>
              <c:f>'Plan en Liq'!$A$7:$A$38</c:f>
              <c:strCache>
                <c:ptCount val="32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  <c:pt idx="29">
                  <c:v>Ago-Dic 2016</c:v>
                </c:pt>
                <c:pt idx="30">
                  <c:v>Feb-Jun 2017</c:v>
                </c:pt>
                <c:pt idx="31">
                  <c:v>Ago-Dic 2017</c:v>
                </c:pt>
              </c:strCache>
            </c:strRef>
          </c:cat>
          <c:val>
            <c:numRef>
              <c:f>'Plan en Liq'!$A$7:$A$37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ser>
          <c:idx val="1"/>
          <c:order val="1"/>
          <c:marker>
            <c:symbol val="none"/>
          </c:marker>
          <c:cat>
            <c:strRef>
              <c:f>'Plan en Liq'!$A$7:$A$38</c:f>
              <c:strCache>
                <c:ptCount val="32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  <c:pt idx="29">
                  <c:v>Ago-Dic 2016</c:v>
                </c:pt>
                <c:pt idx="30">
                  <c:v>Feb-Jun 2017</c:v>
                </c:pt>
                <c:pt idx="31">
                  <c:v>Ago-Dic 2017</c:v>
                </c:pt>
              </c:strCache>
            </c:strRef>
          </c:cat>
          <c:val>
            <c:numRef>
              <c:f>'Plan en Liq'!$B$7:$B$38</c:f>
              <c:numCache>
                <c:formatCode>General</c:formatCode>
                <c:ptCount val="32"/>
                <c:pt idx="0">
                  <c:v>868</c:v>
                </c:pt>
                <c:pt idx="1">
                  <c:v>953</c:v>
                </c:pt>
                <c:pt idx="2">
                  <c:v>757</c:v>
                </c:pt>
                <c:pt idx="3">
                  <c:v>823</c:v>
                </c:pt>
                <c:pt idx="4">
                  <c:v>674</c:v>
                </c:pt>
                <c:pt idx="5">
                  <c:v>712</c:v>
                </c:pt>
                <c:pt idx="6">
                  <c:v>583</c:v>
                </c:pt>
                <c:pt idx="7">
                  <c:v>651</c:v>
                </c:pt>
                <c:pt idx="8">
                  <c:v>533</c:v>
                </c:pt>
                <c:pt idx="9">
                  <c:v>595</c:v>
                </c:pt>
                <c:pt idx="10">
                  <c:v>485</c:v>
                </c:pt>
                <c:pt idx="11">
                  <c:v>542</c:v>
                </c:pt>
                <c:pt idx="12">
                  <c:v>464</c:v>
                </c:pt>
                <c:pt idx="13">
                  <c:v>604</c:v>
                </c:pt>
                <c:pt idx="14">
                  <c:v>552</c:v>
                </c:pt>
                <c:pt idx="15">
                  <c:v>623</c:v>
                </c:pt>
                <c:pt idx="16">
                  <c:v>526</c:v>
                </c:pt>
                <c:pt idx="17">
                  <c:v>439</c:v>
                </c:pt>
                <c:pt idx="18">
                  <c:v>380</c:v>
                </c:pt>
                <c:pt idx="19">
                  <c:v>319</c:v>
                </c:pt>
                <c:pt idx="20">
                  <c:v>257</c:v>
                </c:pt>
                <c:pt idx="21">
                  <c:v>205</c:v>
                </c:pt>
                <c:pt idx="22">
                  <c:v>158</c:v>
                </c:pt>
                <c:pt idx="23">
                  <c:v>116</c:v>
                </c:pt>
                <c:pt idx="24">
                  <c:v>76</c:v>
                </c:pt>
                <c:pt idx="25">
                  <c:v>27</c:v>
                </c:pt>
                <c:pt idx="26">
                  <c:v>18</c:v>
                </c:pt>
                <c:pt idx="27">
                  <c:v>17</c:v>
                </c:pt>
                <c:pt idx="28">
                  <c:v>7</c:v>
                </c:pt>
                <c:pt idx="29">
                  <c:v>2</c:v>
                </c:pt>
                <c:pt idx="30">
                  <c:v>1</c:v>
                </c:pt>
                <c:pt idx="31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1675264384"/>
        <c:axId val="1675275264"/>
      </c:lineChart>
      <c:catAx>
        <c:axId val="1675264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1675275264"/>
        <c:crosses val="autoZero"/>
        <c:auto val="1"/>
        <c:lblAlgn val="ctr"/>
        <c:lblOffset val="100"/>
        <c:noMultiLvlLbl val="0"/>
      </c:catAx>
      <c:valAx>
        <c:axId val="16752752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675264384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PobActual!$A$7:$A$19</c:f>
              <c:strCache>
                <c:ptCount val="13"/>
                <c:pt idx="0">
                  <c:v>ELN</c:v>
                </c:pt>
                <c:pt idx="1">
                  <c:v>ELE</c:v>
                </c:pt>
                <c:pt idx="2">
                  <c:v>IND</c:v>
                </c:pt>
                <c:pt idx="3">
                  <c:v>MEC</c:v>
                </c:pt>
                <c:pt idx="4">
                  <c:v>SYC</c:v>
                </c:pt>
                <c:pt idx="5">
                  <c:v>QUI</c:v>
                </c:pt>
                <c:pt idx="6">
                  <c:v>MKT</c:v>
                </c:pt>
                <c:pt idx="7">
                  <c:v>LOG</c:v>
                </c:pt>
                <c:pt idx="8">
                  <c:v>ENR</c:v>
                </c:pt>
                <c:pt idx="9">
                  <c:v>CP</c:v>
                </c:pt>
                <c:pt idx="10">
                  <c:v>GEM</c:v>
                </c:pt>
                <c:pt idx="11">
                  <c:v>INF</c:v>
                </c:pt>
                <c:pt idx="12">
                  <c:v>MAT</c:v>
                </c:pt>
              </c:strCache>
            </c:strRef>
          </c:cat>
          <c:val>
            <c:numRef>
              <c:f>PobActual!$C$7:$C$19</c:f>
              <c:numCache>
                <c:formatCode>General</c:formatCode>
                <c:ptCount val="13"/>
                <c:pt idx="0">
                  <c:v>174</c:v>
                </c:pt>
                <c:pt idx="1">
                  <c:v>265</c:v>
                </c:pt>
                <c:pt idx="2">
                  <c:v>832</c:v>
                </c:pt>
                <c:pt idx="3">
                  <c:v>531</c:v>
                </c:pt>
                <c:pt idx="4">
                  <c:v>398</c:v>
                </c:pt>
                <c:pt idx="5">
                  <c:v>303</c:v>
                </c:pt>
                <c:pt idx="6">
                  <c:v>604</c:v>
                </c:pt>
                <c:pt idx="7">
                  <c:v>235</c:v>
                </c:pt>
                <c:pt idx="8">
                  <c:v>245</c:v>
                </c:pt>
                <c:pt idx="9">
                  <c:v>238</c:v>
                </c:pt>
                <c:pt idx="10">
                  <c:v>268</c:v>
                </c:pt>
                <c:pt idx="11">
                  <c:v>0</c:v>
                </c:pt>
                <c:pt idx="12">
                  <c:v>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1675267648"/>
        <c:axId val="1675276352"/>
        <c:axId val="0"/>
      </c:bar3DChart>
      <c:catAx>
        <c:axId val="1675267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675276352"/>
        <c:crosses val="autoZero"/>
        <c:auto val="1"/>
        <c:lblAlgn val="ctr"/>
        <c:lblOffset val="100"/>
        <c:noMultiLvlLbl val="0"/>
      </c:catAx>
      <c:valAx>
        <c:axId val="167527635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675267648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Proyección de Grupos por Carrera</a:t>
            </a:r>
          </a:p>
          <a:p>
            <a:pPr>
              <a:defRPr/>
            </a:pPr>
            <a:r>
              <a:rPr lang="es-MX"/>
              <a:t>(Semestre</a:t>
            </a:r>
            <a:r>
              <a:rPr lang="es-MX" baseline="0"/>
              <a:t>s 1-2019 y 2-2019)</a:t>
            </a:r>
            <a:endParaRPr lang="es-MX"/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860467240791687"/>
          <c:y val="0.21029585974099749"/>
          <c:w val="0.8337782275207567"/>
          <c:h val="0.75234739363869463"/>
        </c:manualLayout>
      </c:layout>
      <c:bar3DChart>
        <c:barDir val="bar"/>
        <c:grouping val="clustered"/>
        <c:varyColors val="0"/>
        <c:ser>
          <c:idx val="0"/>
          <c:order val="0"/>
          <c:tx>
            <c:v>2019-1</c:v>
          </c:tx>
          <c:spPr>
            <a:solidFill>
              <a:schemeClr val="accent1"/>
            </a:solidFill>
          </c:spPr>
          <c:invertIfNegative val="0"/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</c:spPr>
          </c:dPt>
          <c:dPt>
            <c:idx val="5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8"/>
            <c:invertIfNegative val="0"/>
            <c:bubble3D val="0"/>
          </c:dPt>
          <c:dPt>
            <c:idx val="9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GposProy!$B$36:$M$36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1</c:v>
                </c:pt>
              </c:numCache>
            </c:numRef>
          </c:val>
        </c:ser>
        <c:ser>
          <c:idx val="1"/>
          <c:order val="1"/>
          <c:tx>
            <c:v>2019-2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GposProy!$B$37:$M$37</c:f>
              <c:numCache>
                <c:formatCode>General</c:formatCode>
                <c:ptCount val="12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2</c:v>
                </c:pt>
                <c:pt idx="11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675263296"/>
        <c:axId val="1675265472"/>
        <c:axId val="0"/>
      </c:bar3DChart>
      <c:catAx>
        <c:axId val="1675263296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crossAx val="1675265472"/>
        <c:crosses val="autoZero"/>
        <c:auto val="1"/>
        <c:lblAlgn val="ctr"/>
        <c:lblOffset val="100"/>
        <c:noMultiLvlLbl val="0"/>
      </c:catAx>
      <c:valAx>
        <c:axId val="1675265472"/>
        <c:scaling>
          <c:orientation val="minMax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GRUPOS</a:t>
                </a:r>
                <a:r>
                  <a:rPr lang="es-MX" baseline="0"/>
                  <a:t> ESPERADOS</a:t>
                </a:r>
                <a:endParaRPr lang="es-MX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675263296"/>
        <c:crosses val="autoZero"/>
        <c:crossBetween val="between"/>
        <c:majorUnit val="1"/>
        <c:minorUnit val="1"/>
      </c:valAx>
    </c:plotArea>
    <c:legend>
      <c:legendPos val="t"/>
      <c:layout>
        <c:manualLayout>
          <c:xMode val="edge"/>
          <c:yMode val="edge"/>
          <c:x val="0.45575421546202305"/>
          <c:y val="0.13056480682324131"/>
          <c:w val="0.12954460009767854"/>
          <c:h val="4.4480436075799143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47625</xdr:colOff>
      <xdr:row>114</xdr:row>
      <xdr:rowOff>84931</xdr:rowOff>
    </xdr:from>
    <xdr:to>
      <xdr:col>45</xdr:col>
      <xdr:colOff>174625</xdr:colOff>
      <xdr:row>131</xdr:row>
      <xdr:rowOff>2381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152399</xdr:colOff>
      <xdr:row>8</xdr:row>
      <xdr:rowOff>14287</xdr:rowOff>
    </xdr:from>
    <xdr:to>
      <xdr:col>8</xdr:col>
      <xdr:colOff>390524</xdr:colOff>
      <xdr:row>31</xdr:row>
      <xdr:rowOff>19050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314324</xdr:colOff>
      <xdr:row>8</xdr:row>
      <xdr:rowOff>38100</xdr:rowOff>
    </xdr:from>
    <xdr:to>
      <xdr:col>14</xdr:col>
      <xdr:colOff>85724</xdr:colOff>
      <xdr:row>29</xdr:row>
      <xdr:rowOff>123825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19048</xdr:colOff>
      <xdr:row>4</xdr:row>
      <xdr:rowOff>42861</xdr:rowOff>
    </xdr:from>
    <xdr:to>
      <xdr:col>9</xdr:col>
      <xdr:colOff>542924</xdr:colOff>
      <xdr:row>32</xdr:row>
      <xdr:rowOff>76200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114298</xdr:colOff>
      <xdr:row>4</xdr:row>
      <xdr:rowOff>95251</xdr:rowOff>
    </xdr:from>
    <xdr:to>
      <xdr:col>16</xdr:col>
      <xdr:colOff>400049</xdr:colOff>
      <xdr:row>33</xdr:row>
      <xdr:rowOff>85726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0.26154</cdr:x>
      <cdr:y>0.03143</cdr:y>
    </cdr:from>
    <cdr:to>
      <cdr:x>0.69915</cdr:x>
      <cdr:y>0.10806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457326" y="152400"/>
          <a:ext cx="2438400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MX" sz="1400" b="1"/>
            <a:t>(Histórico</a:t>
          </a:r>
          <a:r>
            <a:rPr lang="es-MX" sz="1400" b="1" baseline="0"/>
            <a:t> y Proyectado</a:t>
          </a:r>
          <a:r>
            <a:rPr lang="es-MX" sz="1100" baseline="0"/>
            <a:t>)</a:t>
          </a:r>
          <a:endParaRPr lang="es-MX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6</xdr:row>
      <xdr:rowOff>123824</xdr:rowOff>
    </xdr:from>
    <xdr:to>
      <xdr:col>12</xdr:col>
      <xdr:colOff>561975</xdr:colOff>
      <xdr:row>30</xdr:row>
      <xdr:rowOff>85725</xdr:rowOff>
    </xdr:to>
    <xdr:graphicFrame macro="">
      <xdr:nvGraphicFramePr>
        <xdr:cNvPr id="5" name="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419099</xdr:colOff>
      <xdr:row>4</xdr:row>
      <xdr:rowOff>104775</xdr:rowOff>
    </xdr:from>
    <xdr:to>
      <xdr:col>11</xdr:col>
      <xdr:colOff>1990725</xdr:colOff>
      <xdr:row>33</xdr:row>
      <xdr:rowOff>47625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57151</xdr:rowOff>
    </xdr:from>
    <xdr:to>
      <xdr:col>18</xdr:col>
      <xdr:colOff>219075</xdr:colOff>
      <xdr:row>38</xdr:row>
      <xdr:rowOff>123825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Q191"/>
  <sheetViews>
    <sheetView showGridLines="0" tabSelected="1" zoomScale="98" zoomScaleNormal="98" zoomScaleSheetLayoutView="150" workbookViewId="0">
      <pane xSplit="1" ySplit="7" topLeftCell="AU65" activePane="bottomRight" state="frozen"/>
      <selection pane="topRight" activeCell="B1" sqref="B1"/>
      <selection pane="bottomLeft" activeCell="A8" sqref="A8"/>
      <selection pane="bottomRight" activeCell="CF69" sqref="CF69"/>
    </sheetView>
  </sheetViews>
  <sheetFormatPr baseColWidth="10" defaultColWidth="11.42578125" defaultRowHeight="12.75" x14ac:dyDescent="0.2"/>
  <cols>
    <col min="1" max="1" width="11.42578125" style="2" customWidth="1"/>
    <col min="2" max="21" width="4.7109375" style="1" customWidth="1"/>
    <col min="22" max="47" width="4.7109375" style="98" customWidth="1"/>
    <col min="48" max="48" width="4.7109375" style="104" customWidth="1"/>
    <col min="49" max="52" width="4.7109375" style="98" customWidth="1"/>
    <col min="53" max="53" width="4.5703125" style="104" customWidth="1"/>
    <col min="54" max="66" width="4.7109375" style="98" customWidth="1"/>
    <col min="67" max="67" width="5.5703125" style="98" customWidth="1"/>
    <col min="68" max="71" width="4.7109375" style="98" customWidth="1"/>
    <col min="72" max="72" width="5.5703125" style="98" customWidth="1"/>
    <col min="73" max="101" width="4.7109375" style="98" customWidth="1"/>
    <col min="102" max="102" width="5.7109375" style="98" customWidth="1"/>
    <col min="103" max="107" width="4.7109375" style="98" customWidth="1"/>
    <col min="108" max="137" width="5.28515625" style="98" customWidth="1"/>
    <col min="138" max="156" width="4.7109375" style="98" customWidth="1"/>
    <col min="157" max="160" width="5.7109375" style="136" customWidth="1"/>
    <col min="161" max="161" width="7.28515625" style="136" customWidth="1"/>
    <col min="162" max="162" width="5.7109375" style="136" customWidth="1"/>
    <col min="163" max="163" width="10.5703125" style="30" hidden="1" customWidth="1"/>
    <col min="164" max="164" width="11.42578125" style="39" customWidth="1"/>
    <col min="165" max="165" width="10.85546875" style="255" customWidth="1"/>
    <col min="166" max="172" width="11.42578125" style="255" customWidth="1"/>
    <col min="173" max="16384" width="11.42578125" style="232"/>
  </cols>
  <sheetData>
    <row r="1" spans="1:199" ht="25.5" customHeight="1" x14ac:dyDescent="0.35"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  <c r="R1" s="319"/>
      <c r="S1" s="319"/>
      <c r="T1" s="319"/>
      <c r="U1" s="319"/>
      <c r="V1" s="319"/>
      <c r="W1" s="319"/>
      <c r="X1" s="319"/>
      <c r="Y1" s="319"/>
      <c r="Z1" s="319"/>
      <c r="AA1" s="319"/>
      <c r="AB1" s="319"/>
      <c r="AC1" s="319"/>
      <c r="AD1" s="319"/>
      <c r="AE1" s="319"/>
      <c r="AF1" s="319"/>
      <c r="AG1" s="319"/>
      <c r="AH1" s="319"/>
      <c r="AI1" s="319"/>
      <c r="AJ1" s="319"/>
      <c r="AK1" s="319"/>
      <c r="AL1" s="319"/>
      <c r="AM1" s="319"/>
      <c r="AN1" s="319"/>
      <c r="AO1" s="319"/>
      <c r="AP1" s="319"/>
      <c r="AQ1" s="319"/>
      <c r="AR1" s="319"/>
      <c r="AS1" s="319"/>
      <c r="AT1" s="319"/>
      <c r="AU1" s="319"/>
      <c r="AV1" s="319"/>
      <c r="AW1" s="319"/>
      <c r="AX1" s="319"/>
      <c r="AY1" s="319"/>
      <c r="AZ1" s="319"/>
      <c r="BA1" s="319"/>
      <c r="BB1" s="319"/>
      <c r="BC1" s="319"/>
      <c r="BD1" s="319"/>
      <c r="BE1" s="319"/>
      <c r="BF1" s="319"/>
      <c r="BG1" s="319"/>
      <c r="BH1" s="319"/>
      <c r="BI1" s="319"/>
      <c r="BJ1" s="319"/>
      <c r="BK1" s="319"/>
      <c r="BL1" s="319"/>
      <c r="BM1" s="319"/>
      <c r="BN1" s="319"/>
      <c r="BO1" s="460" t="s">
        <v>0</v>
      </c>
      <c r="BP1" s="460"/>
      <c r="BQ1" s="460"/>
      <c r="BR1" s="460"/>
      <c r="BS1" s="460"/>
      <c r="BT1" s="460"/>
      <c r="BU1" s="460"/>
      <c r="BV1" s="460"/>
      <c r="BW1" s="460"/>
      <c r="BX1" s="460"/>
      <c r="BY1" s="460"/>
      <c r="BZ1" s="460"/>
      <c r="CA1" s="460"/>
      <c r="CB1" s="460"/>
      <c r="CC1" s="460"/>
      <c r="CD1" s="460"/>
      <c r="CE1" s="460"/>
      <c r="CF1" s="460"/>
      <c r="CG1" s="460"/>
      <c r="CH1" s="460"/>
      <c r="CI1" s="460"/>
      <c r="CJ1" s="460"/>
      <c r="CK1" s="460"/>
      <c r="CL1" s="460"/>
      <c r="CM1" s="460"/>
      <c r="CN1" s="460"/>
      <c r="CO1" s="460"/>
      <c r="CP1" s="460"/>
      <c r="CQ1" s="460"/>
      <c r="CR1" s="460"/>
      <c r="CS1" s="460"/>
      <c r="CT1" s="460"/>
      <c r="CU1" s="460"/>
      <c r="CV1" s="460"/>
      <c r="CW1" s="460"/>
      <c r="CX1" s="460"/>
      <c r="CY1" s="460"/>
      <c r="CZ1" s="460"/>
      <c r="DA1" s="460"/>
      <c r="DB1" s="460"/>
      <c r="DC1" s="460"/>
      <c r="DD1" s="460"/>
      <c r="DE1" s="460"/>
      <c r="DF1" s="460"/>
      <c r="DG1" s="460"/>
      <c r="DH1" s="460"/>
      <c r="DI1" s="460"/>
      <c r="DJ1" s="460"/>
      <c r="DK1" s="460"/>
      <c r="DL1" s="460"/>
      <c r="DM1" s="460"/>
      <c r="DN1" s="460"/>
      <c r="DO1" s="460"/>
      <c r="DP1" s="460"/>
      <c r="DQ1" s="460"/>
      <c r="DR1" s="460"/>
      <c r="DS1" s="460"/>
      <c r="DT1" s="460"/>
      <c r="DU1" s="460"/>
      <c r="DV1" s="460"/>
      <c r="DW1" s="460"/>
      <c r="DX1" s="460"/>
      <c r="DY1" s="460"/>
      <c r="DZ1" s="460"/>
      <c r="EA1" s="460"/>
      <c r="EB1" s="460"/>
      <c r="EC1" s="460"/>
      <c r="ED1" s="460"/>
      <c r="EE1" s="460"/>
      <c r="EF1" s="460"/>
      <c r="EG1" s="460"/>
      <c r="EH1" s="460"/>
      <c r="EI1" s="460"/>
      <c r="EJ1" s="460"/>
      <c r="EK1" s="460"/>
      <c r="EL1" s="460"/>
      <c r="EM1" s="460"/>
      <c r="EN1" s="460"/>
      <c r="EO1" s="460"/>
      <c r="EP1" s="460"/>
      <c r="EQ1" s="460"/>
      <c r="ER1" s="460"/>
      <c r="ES1" s="460"/>
      <c r="ET1" s="460"/>
      <c r="EU1" s="460"/>
      <c r="EV1" s="460"/>
      <c r="EW1" s="460"/>
      <c r="EX1" s="460"/>
      <c r="EY1" s="460"/>
      <c r="EZ1" s="460"/>
      <c r="FA1" s="460"/>
      <c r="FB1" s="460"/>
      <c r="FC1" s="460"/>
      <c r="FD1" s="460"/>
      <c r="FE1" s="460"/>
      <c r="FF1" s="460"/>
    </row>
    <row r="2" spans="1:199" ht="12.75" customHeight="1" x14ac:dyDescent="0.25">
      <c r="B2" s="320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0"/>
      <c r="AH2" s="320"/>
      <c r="AI2" s="320"/>
      <c r="AJ2" s="320"/>
      <c r="AK2" s="320"/>
      <c r="AL2" s="320"/>
      <c r="AM2" s="320"/>
      <c r="AN2" s="320"/>
      <c r="AO2" s="320"/>
      <c r="AP2" s="320"/>
      <c r="AQ2" s="320"/>
      <c r="AR2" s="320"/>
      <c r="AS2" s="320"/>
      <c r="AT2" s="320"/>
      <c r="AU2" s="320"/>
      <c r="AV2" s="320"/>
      <c r="AW2" s="320"/>
      <c r="AX2" s="320"/>
      <c r="AY2" s="320"/>
      <c r="AZ2" s="320"/>
      <c r="BA2" s="320"/>
      <c r="BB2" s="320"/>
      <c r="BC2" s="320"/>
      <c r="BD2" s="320"/>
      <c r="BE2" s="320"/>
      <c r="BF2" s="320"/>
      <c r="BG2" s="320"/>
      <c r="BH2" s="320"/>
      <c r="BI2" s="320"/>
      <c r="BJ2" s="320"/>
      <c r="BK2" s="320"/>
      <c r="BL2" s="320"/>
      <c r="BM2" s="320"/>
      <c r="BN2" s="320"/>
      <c r="BO2" s="461" t="s">
        <v>1</v>
      </c>
      <c r="BP2" s="461"/>
      <c r="BQ2" s="461"/>
      <c r="BR2" s="461"/>
      <c r="BS2" s="461"/>
      <c r="BT2" s="461"/>
      <c r="BU2" s="461"/>
      <c r="BV2" s="461"/>
      <c r="BW2" s="461"/>
      <c r="BX2" s="461"/>
      <c r="BY2" s="461"/>
      <c r="BZ2" s="461"/>
      <c r="CA2" s="461"/>
      <c r="CB2" s="461"/>
      <c r="CC2" s="461"/>
      <c r="CD2" s="461"/>
      <c r="CE2" s="461"/>
      <c r="CF2" s="461"/>
      <c r="CG2" s="461"/>
      <c r="CH2" s="461"/>
      <c r="CI2" s="461"/>
      <c r="CJ2" s="461"/>
      <c r="CK2" s="461"/>
      <c r="CL2" s="461"/>
      <c r="CM2" s="461"/>
      <c r="CN2" s="461"/>
      <c r="CO2" s="461"/>
      <c r="CP2" s="461"/>
      <c r="CQ2" s="461"/>
      <c r="CR2" s="461"/>
      <c r="CS2" s="461"/>
      <c r="CT2" s="461"/>
      <c r="CU2" s="461"/>
      <c r="CV2" s="461"/>
      <c r="CW2" s="461"/>
      <c r="CX2" s="461"/>
      <c r="CY2" s="461"/>
      <c r="CZ2" s="461"/>
      <c r="DA2" s="461"/>
      <c r="DB2" s="461"/>
      <c r="DC2" s="461"/>
      <c r="DD2" s="461"/>
      <c r="DE2" s="461"/>
      <c r="DF2" s="461"/>
      <c r="DG2" s="461"/>
      <c r="DH2" s="461"/>
      <c r="DI2" s="461"/>
      <c r="DJ2" s="461"/>
      <c r="DK2" s="461"/>
      <c r="DL2" s="461"/>
      <c r="DM2" s="461"/>
      <c r="DN2" s="461"/>
      <c r="DO2" s="461"/>
      <c r="DP2" s="461"/>
      <c r="DQ2" s="461"/>
      <c r="DR2" s="461"/>
      <c r="DS2" s="461"/>
      <c r="DT2" s="461"/>
      <c r="DU2" s="461"/>
      <c r="DV2" s="461"/>
      <c r="DW2" s="461"/>
      <c r="DX2" s="461"/>
      <c r="DY2" s="461"/>
      <c r="DZ2" s="461"/>
      <c r="EA2" s="461"/>
      <c r="EB2" s="461"/>
      <c r="EC2" s="461"/>
      <c r="ED2" s="461"/>
      <c r="EE2" s="461"/>
      <c r="EF2" s="461"/>
      <c r="EG2" s="461"/>
      <c r="EH2" s="461"/>
      <c r="EI2" s="461"/>
      <c r="EJ2" s="461"/>
      <c r="EK2" s="461"/>
      <c r="EL2" s="461"/>
      <c r="EM2" s="461"/>
      <c r="EN2" s="461"/>
      <c r="EO2" s="461"/>
      <c r="EP2" s="461"/>
      <c r="EQ2" s="461"/>
      <c r="ER2" s="461"/>
      <c r="ES2" s="461"/>
      <c r="ET2" s="461"/>
      <c r="EU2" s="461"/>
      <c r="EV2" s="461"/>
      <c r="EW2" s="461"/>
      <c r="EX2" s="461"/>
      <c r="EY2" s="461"/>
      <c r="EZ2" s="461"/>
      <c r="FA2" s="461"/>
      <c r="FB2" s="461"/>
      <c r="FC2" s="461"/>
      <c r="FD2" s="461"/>
      <c r="FE2" s="461"/>
      <c r="FF2" s="461"/>
    </row>
    <row r="3" spans="1:199" ht="6" customHeight="1" x14ac:dyDescent="0.25">
      <c r="AH3" s="19"/>
    </row>
    <row r="4" spans="1:199" ht="31.5" customHeight="1" x14ac:dyDescent="0.35">
      <c r="E4" s="1">
        <f>+SUM(E8:E80)</f>
        <v>145</v>
      </c>
      <c r="J4" s="1">
        <f>+SUM(J8:J80)</f>
        <v>221</v>
      </c>
      <c r="V4" s="441" t="s">
        <v>228</v>
      </c>
      <c r="W4" s="441"/>
      <c r="X4" s="441"/>
      <c r="Y4" s="441"/>
      <c r="Z4" s="441"/>
      <c r="AA4" s="441"/>
      <c r="AB4" s="441"/>
      <c r="AC4" s="441"/>
      <c r="AD4" s="441"/>
      <c r="AE4" s="441"/>
      <c r="AF4" s="441"/>
      <c r="AG4" s="441"/>
      <c r="AH4" s="441"/>
      <c r="AI4" s="441"/>
      <c r="AJ4" s="441"/>
      <c r="AK4" s="441"/>
      <c r="AL4" s="441"/>
      <c r="AM4" s="441"/>
      <c r="AN4" s="441"/>
      <c r="AO4" s="441"/>
      <c r="AP4" s="441"/>
      <c r="AQ4" s="441"/>
      <c r="AR4" s="441"/>
      <c r="AS4" s="441"/>
      <c r="AT4" s="441"/>
      <c r="AU4" s="441"/>
      <c r="AV4" s="441"/>
      <c r="AW4" s="441"/>
      <c r="AX4" s="441"/>
      <c r="AY4" s="441"/>
      <c r="AZ4" s="441"/>
      <c r="BA4" s="441"/>
      <c r="BB4" s="441"/>
      <c r="BC4" s="441"/>
      <c r="BD4" s="441"/>
      <c r="BE4" s="441"/>
      <c r="BF4" s="441"/>
      <c r="BG4" s="441"/>
      <c r="BH4" s="441"/>
      <c r="BI4" s="441"/>
      <c r="BJ4" s="441"/>
      <c r="BK4" s="441"/>
      <c r="BL4" s="441"/>
      <c r="BM4" s="441"/>
      <c r="BN4" s="441"/>
      <c r="BO4" s="458" t="s">
        <v>133</v>
      </c>
      <c r="BP4" s="458"/>
      <c r="BQ4" s="458"/>
      <c r="BR4" s="458"/>
      <c r="BS4" s="458"/>
      <c r="BT4" s="458"/>
      <c r="BU4" s="458"/>
      <c r="BV4" s="458"/>
      <c r="BW4" s="458"/>
      <c r="BX4" s="458"/>
      <c r="BY4" s="458"/>
      <c r="BZ4" s="458"/>
      <c r="CA4" s="458"/>
      <c r="CB4" s="458"/>
      <c r="CC4" s="458"/>
      <c r="CD4" s="458"/>
      <c r="CE4" s="458"/>
      <c r="CF4" s="458"/>
      <c r="CG4" s="458"/>
      <c r="CH4" s="458"/>
      <c r="CI4" s="458"/>
      <c r="CJ4" s="458"/>
      <c r="CK4" s="458"/>
      <c r="CL4" s="458"/>
      <c r="CM4" s="458"/>
      <c r="CN4" s="458"/>
      <c r="CO4" s="458"/>
      <c r="CP4" s="458"/>
      <c r="CQ4" s="458"/>
      <c r="CR4" s="458"/>
      <c r="CS4" s="458"/>
      <c r="CT4" s="458"/>
      <c r="CU4" s="458"/>
      <c r="CV4" s="458"/>
      <c r="CW4" s="458"/>
      <c r="CX4" s="458"/>
      <c r="CY4" s="458"/>
      <c r="CZ4" s="458"/>
      <c r="DA4" s="458"/>
      <c r="DB4" s="458"/>
      <c r="DC4" s="458"/>
      <c r="DD4" s="458"/>
      <c r="DE4" s="458"/>
      <c r="DF4" s="458"/>
      <c r="DG4" s="458"/>
      <c r="DH4" s="458"/>
      <c r="DI4" s="458"/>
      <c r="DJ4" s="458"/>
      <c r="DK4" s="458"/>
      <c r="DL4" s="458"/>
      <c r="DM4" s="458"/>
      <c r="DN4" s="458"/>
      <c r="DO4" s="458"/>
      <c r="DP4" s="458"/>
      <c r="DQ4" s="458"/>
      <c r="DR4" s="458"/>
      <c r="DS4" s="458"/>
      <c r="DT4" s="458"/>
      <c r="DU4" s="458"/>
      <c r="DV4" s="458"/>
      <c r="DW4" s="458"/>
      <c r="DX4" s="458"/>
      <c r="DY4" s="458"/>
      <c r="DZ4" s="458"/>
      <c r="EA4" s="458"/>
      <c r="EB4" s="458"/>
      <c r="EC4" s="458"/>
      <c r="ED4" s="458"/>
      <c r="EE4" s="458"/>
      <c r="EF4" s="458"/>
      <c r="EG4" s="458"/>
      <c r="EH4" s="458"/>
      <c r="EI4" s="458"/>
      <c r="EJ4" s="458"/>
      <c r="EK4" s="458"/>
      <c r="EL4" s="458"/>
      <c r="EM4" s="458"/>
      <c r="EN4" s="458"/>
      <c r="EO4" s="458"/>
      <c r="EP4" s="458"/>
      <c r="EQ4" s="458"/>
      <c r="ER4" s="458"/>
      <c r="ES4" s="458"/>
      <c r="ET4" s="458"/>
      <c r="EU4" s="458"/>
      <c r="EV4" s="458"/>
      <c r="EW4" s="458"/>
      <c r="EX4" s="458"/>
      <c r="EY4" s="458"/>
      <c r="EZ4" s="458"/>
      <c r="FA4" s="458"/>
      <c r="FB4" s="458"/>
      <c r="FC4" s="458"/>
      <c r="FD4" s="458"/>
      <c r="FE4" s="458"/>
      <c r="FF4" s="458"/>
    </row>
    <row r="5" spans="1:199" s="257" customFormat="1" ht="12.75" customHeight="1" thickBot="1" x14ac:dyDescent="0.25">
      <c r="A5" s="11">
        <v>1</v>
      </c>
      <c r="B5" s="12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  <c r="I5" s="12">
        <v>9</v>
      </c>
      <c r="J5" s="12">
        <v>10</v>
      </c>
      <c r="K5" s="12">
        <v>11</v>
      </c>
      <c r="L5" s="12">
        <v>12</v>
      </c>
      <c r="M5" s="12">
        <v>13</v>
      </c>
      <c r="N5" s="12">
        <v>14</v>
      </c>
      <c r="O5" s="12">
        <v>15</v>
      </c>
      <c r="P5" s="12">
        <v>16</v>
      </c>
      <c r="Q5" s="12">
        <v>17</v>
      </c>
      <c r="R5" s="12">
        <v>18</v>
      </c>
      <c r="S5" s="12">
        <v>19</v>
      </c>
      <c r="T5" s="12">
        <v>20</v>
      </c>
      <c r="U5" s="12">
        <v>21</v>
      </c>
      <c r="V5" s="12">
        <v>22</v>
      </c>
      <c r="W5" s="12">
        <v>23</v>
      </c>
      <c r="X5" s="12">
        <v>24</v>
      </c>
      <c r="Y5" s="12">
        <v>25</v>
      </c>
      <c r="Z5" s="12">
        <v>26</v>
      </c>
      <c r="AA5" s="12">
        <v>27</v>
      </c>
      <c r="AB5" s="12">
        <v>28</v>
      </c>
      <c r="AC5" s="12">
        <v>29</v>
      </c>
      <c r="AD5" s="12">
        <v>30</v>
      </c>
      <c r="AE5" s="12">
        <v>31</v>
      </c>
      <c r="AF5" s="12">
        <v>32</v>
      </c>
      <c r="AG5" s="12">
        <v>33</v>
      </c>
      <c r="AH5" s="12">
        <v>34</v>
      </c>
      <c r="AI5" s="12">
        <v>35</v>
      </c>
      <c r="AJ5" s="12">
        <v>36</v>
      </c>
      <c r="AK5" s="12">
        <v>37</v>
      </c>
      <c r="AL5" s="12">
        <v>38</v>
      </c>
      <c r="AM5" s="12">
        <v>39</v>
      </c>
      <c r="AN5" s="12">
        <v>40</v>
      </c>
      <c r="AO5" s="12">
        <v>41</v>
      </c>
      <c r="AP5" s="12">
        <v>42</v>
      </c>
      <c r="AQ5" s="12">
        <v>43</v>
      </c>
      <c r="AR5" s="12">
        <v>44</v>
      </c>
      <c r="AS5" s="12">
        <v>45</v>
      </c>
      <c r="AT5" s="12">
        <v>46</v>
      </c>
      <c r="AU5" s="12">
        <v>47</v>
      </c>
      <c r="AV5" s="12">
        <v>48</v>
      </c>
      <c r="AW5" s="12">
        <v>49</v>
      </c>
      <c r="AX5" s="12">
        <v>50</v>
      </c>
      <c r="AY5" s="12">
        <v>51</v>
      </c>
      <c r="AZ5" s="12">
        <v>52</v>
      </c>
      <c r="BA5" s="12">
        <v>53</v>
      </c>
      <c r="BB5" s="12">
        <v>54</v>
      </c>
      <c r="BC5" s="12">
        <v>55</v>
      </c>
      <c r="BD5" s="12">
        <v>56</v>
      </c>
      <c r="BE5" s="12">
        <v>57</v>
      </c>
      <c r="BF5" s="12">
        <v>58</v>
      </c>
      <c r="BG5" s="12">
        <v>59</v>
      </c>
      <c r="BH5" s="12">
        <v>60</v>
      </c>
      <c r="BI5" s="12">
        <v>61</v>
      </c>
      <c r="BJ5" s="12">
        <v>62</v>
      </c>
      <c r="BK5" s="12">
        <v>63</v>
      </c>
      <c r="BL5" s="12">
        <v>64</v>
      </c>
      <c r="BM5" s="12">
        <v>65</v>
      </c>
      <c r="BN5" s="12">
        <v>66</v>
      </c>
      <c r="BO5" s="12">
        <v>67</v>
      </c>
      <c r="BP5" s="12">
        <v>68</v>
      </c>
      <c r="BQ5" s="12">
        <v>69</v>
      </c>
      <c r="BR5" s="12">
        <v>70</v>
      </c>
      <c r="BS5" s="12">
        <v>71</v>
      </c>
      <c r="BT5" s="12">
        <v>72</v>
      </c>
      <c r="BU5" s="12">
        <v>73</v>
      </c>
      <c r="BV5" s="12">
        <v>74</v>
      </c>
      <c r="BW5" s="12">
        <v>75</v>
      </c>
      <c r="BX5" s="12">
        <v>76</v>
      </c>
      <c r="BY5" s="12">
        <v>77</v>
      </c>
      <c r="BZ5" s="12">
        <v>78</v>
      </c>
      <c r="CA5" s="12">
        <v>79</v>
      </c>
      <c r="CB5" s="12">
        <v>80</v>
      </c>
      <c r="CC5" s="12">
        <v>81</v>
      </c>
      <c r="CD5" s="12">
        <v>82</v>
      </c>
      <c r="CE5" s="12">
        <v>83</v>
      </c>
      <c r="CF5" s="12">
        <v>84</v>
      </c>
      <c r="CG5" s="12">
        <v>85</v>
      </c>
      <c r="CH5" s="12">
        <v>86</v>
      </c>
      <c r="CI5" s="12">
        <v>87</v>
      </c>
      <c r="CJ5" s="12">
        <v>88</v>
      </c>
      <c r="CK5" s="12">
        <v>89</v>
      </c>
      <c r="CL5" s="12">
        <v>90</v>
      </c>
      <c r="CM5" s="12">
        <v>91</v>
      </c>
      <c r="CN5" s="12">
        <v>92</v>
      </c>
      <c r="CO5" s="12">
        <v>93</v>
      </c>
      <c r="CP5" s="12">
        <v>94</v>
      </c>
      <c r="CQ5" s="12">
        <v>95</v>
      </c>
      <c r="CR5" s="12">
        <v>96</v>
      </c>
      <c r="CS5" s="12">
        <v>97</v>
      </c>
      <c r="CT5" s="12">
        <v>98</v>
      </c>
      <c r="CU5" s="12">
        <v>99</v>
      </c>
      <c r="CV5" s="12">
        <v>100</v>
      </c>
      <c r="CW5" s="12">
        <v>101</v>
      </c>
      <c r="CX5" s="12">
        <v>102</v>
      </c>
      <c r="CY5" s="12">
        <v>103</v>
      </c>
      <c r="CZ5" s="12">
        <v>104</v>
      </c>
      <c r="DA5" s="12">
        <v>105</v>
      </c>
      <c r="DB5" s="12">
        <v>106</v>
      </c>
      <c r="DC5" s="12">
        <v>107</v>
      </c>
      <c r="DD5" s="12">
        <v>108</v>
      </c>
      <c r="DE5" s="12">
        <v>109</v>
      </c>
      <c r="DF5" s="12">
        <v>110</v>
      </c>
      <c r="DG5" s="12">
        <v>111</v>
      </c>
      <c r="DH5" s="12">
        <v>112</v>
      </c>
      <c r="DI5" s="12">
        <v>113</v>
      </c>
      <c r="DJ5" s="12">
        <v>114</v>
      </c>
      <c r="DK5" s="12">
        <v>115</v>
      </c>
      <c r="DL5" s="12">
        <v>116</v>
      </c>
      <c r="DM5" s="12">
        <v>117</v>
      </c>
      <c r="DN5" s="12">
        <v>118</v>
      </c>
      <c r="DO5" s="12">
        <v>119</v>
      </c>
      <c r="DP5" s="12">
        <v>120</v>
      </c>
      <c r="DQ5" s="12">
        <v>121</v>
      </c>
      <c r="DR5" s="12">
        <v>122</v>
      </c>
      <c r="DS5" s="12">
        <v>123</v>
      </c>
      <c r="DT5" s="12">
        <v>124</v>
      </c>
      <c r="DU5" s="12">
        <v>125</v>
      </c>
      <c r="DV5" s="12">
        <v>126</v>
      </c>
      <c r="DW5" s="12">
        <v>127</v>
      </c>
      <c r="DX5" s="12">
        <v>128</v>
      </c>
      <c r="DY5" s="12">
        <v>129</v>
      </c>
      <c r="DZ5" s="12">
        <v>130</v>
      </c>
      <c r="EA5" s="12">
        <v>131</v>
      </c>
      <c r="EB5" s="12">
        <v>132</v>
      </c>
      <c r="EC5" s="12">
        <v>133</v>
      </c>
      <c r="ED5" s="12">
        <v>134</v>
      </c>
      <c r="EE5" s="12">
        <v>135</v>
      </c>
      <c r="EF5" s="12">
        <v>136</v>
      </c>
      <c r="EG5" s="12">
        <v>137</v>
      </c>
      <c r="EH5" s="12">
        <v>138</v>
      </c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>
        <v>139</v>
      </c>
      <c r="FB5" s="12">
        <v>140</v>
      </c>
      <c r="FC5" s="12">
        <v>141</v>
      </c>
      <c r="FD5" s="12">
        <v>142</v>
      </c>
      <c r="FE5" s="12">
        <v>143</v>
      </c>
      <c r="FF5" s="12">
        <v>144</v>
      </c>
      <c r="FG5" s="12">
        <v>145</v>
      </c>
      <c r="FH5" s="39"/>
      <c r="FI5" s="255"/>
      <c r="FJ5" s="255"/>
      <c r="FK5" s="256"/>
      <c r="FL5" s="256"/>
      <c r="FM5" s="256"/>
      <c r="FN5" s="256"/>
      <c r="FO5" s="256"/>
      <c r="FP5" s="256"/>
    </row>
    <row r="6" spans="1:199" ht="13.5" thickTop="1" x14ac:dyDescent="0.2">
      <c r="B6" s="13"/>
      <c r="C6" s="14"/>
      <c r="D6" s="15" t="s">
        <v>2</v>
      </c>
      <c r="E6" s="14"/>
      <c r="F6" s="14"/>
      <c r="G6" s="16"/>
      <c r="H6" s="14"/>
      <c r="I6" s="15" t="s">
        <v>3</v>
      </c>
      <c r="J6" s="14"/>
      <c r="K6" s="14"/>
      <c r="L6" s="16"/>
      <c r="M6" s="14"/>
      <c r="N6" s="17" t="s">
        <v>4</v>
      </c>
      <c r="O6" s="14"/>
      <c r="P6" s="14"/>
      <c r="Q6" s="16"/>
      <c r="R6" s="14"/>
      <c r="S6" s="15" t="s">
        <v>5</v>
      </c>
      <c r="T6" s="14"/>
      <c r="U6" s="14"/>
      <c r="V6" s="455" t="s">
        <v>6</v>
      </c>
      <c r="W6" s="456"/>
      <c r="X6" s="456"/>
      <c r="Y6" s="456"/>
      <c r="Z6" s="457"/>
      <c r="AA6" s="455" t="s">
        <v>7</v>
      </c>
      <c r="AB6" s="456"/>
      <c r="AC6" s="456"/>
      <c r="AD6" s="456"/>
      <c r="AE6" s="457"/>
      <c r="AF6" s="490" t="s">
        <v>8</v>
      </c>
      <c r="AG6" s="491"/>
      <c r="AH6" s="491"/>
      <c r="AI6" s="491"/>
      <c r="AJ6" s="492"/>
      <c r="AK6" s="486" t="s">
        <v>9</v>
      </c>
      <c r="AL6" s="487"/>
      <c r="AM6" s="487"/>
      <c r="AN6" s="487"/>
      <c r="AO6" s="495"/>
      <c r="AP6" s="480" t="s">
        <v>193</v>
      </c>
      <c r="AQ6" s="481"/>
      <c r="AR6" s="481"/>
      <c r="AS6" s="481"/>
      <c r="AT6" s="482"/>
      <c r="AU6" s="483" t="s">
        <v>10</v>
      </c>
      <c r="AV6" s="484"/>
      <c r="AW6" s="484"/>
      <c r="AX6" s="484"/>
      <c r="AY6" s="485"/>
      <c r="AZ6" s="480" t="s">
        <v>192</v>
      </c>
      <c r="BA6" s="481"/>
      <c r="BB6" s="481"/>
      <c r="BC6" s="481"/>
      <c r="BD6" s="482"/>
      <c r="BE6" s="488" t="s">
        <v>11</v>
      </c>
      <c r="BF6" s="484"/>
      <c r="BG6" s="484"/>
      <c r="BH6" s="484"/>
      <c r="BI6" s="489"/>
      <c r="BJ6" s="486" t="s">
        <v>74</v>
      </c>
      <c r="BK6" s="487"/>
      <c r="BL6" s="487"/>
      <c r="BM6" s="487"/>
      <c r="BN6" s="487"/>
      <c r="BO6" s="467" t="s">
        <v>87</v>
      </c>
      <c r="BP6" s="468"/>
      <c r="BQ6" s="468"/>
      <c r="BR6" s="468"/>
      <c r="BS6" s="468"/>
      <c r="BT6" s="469"/>
      <c r="BU6" s="452" t="s">
        <v>88</v>
      </c>
      <c r="BV6" s="453"/>
      <c r="BW6" s="453"/>
      <c r="BX6" s="453"/>
      <c r="BY6" s="453"/>
      <c r="BZ6" s="454"/>
      <c r="CA6" s="467" t="s">
        <v>89</v>
      </c>
      <c r="CB6" s="468"/>
      <c r="CC6" s="468"/>
      <c r="CD6" s="468"/>
      <c r="CE6" s="468"/>
      <c r="CF6" s="469"/>
      <c r="CG6" s="470" t="s">
        <v>7</v>
      </c>
      <c r="CH6" s="471"/>
      <c r="CI6" s="471"/>
      <c r="CJ6" s="471"/>
      <c r="CK6" s="471"/>
      <c r="CL6" s="471"/>
      <c r="CM6" s="449" t="s">
        <v>6</v>
      </c>
      <c r="CN6" s="450"/>
      <c r="CO6" s="450"/>
      <c r="CP6" s="450"/>
      <c r="CQ6" s="450"/>
      <c r="CR6" s="451"/>
      <c r="CS6" s="449" t="s">
        <v>105</v>
      </c>
      <c r="CT6" s="450"/>
      <c r="CU6" s="450"/>
      <c r="CV6" s="450"/>
      <c r="CW6" s="450"/>
      <c r="CX6" s="451"/>
      <c r="CY6" s="446" t="s">
        <v>194</v>
      </c>
      <c r="CZ6" s="447"/>
      <c r="DA6" s="447"/>
      <c r="DB6" s="447"/>
      <c r="DC6" s="447"/>
      <c r="DD6" s="448"/>
      <c r="DE6" s="452" t="s">
        <v>8</v>
      </c>
      <c r="DF6" s="453"/>
      <c r="DG6" s="453"/>
      <c r="DH6" s="453"/>
      <c r="DI6" s="453"/>
      <c r="DJ6" s="454"/>
      <c r="DK6" s="446" t="s">
        <v>90</v>
      </c>
      <c r="DL6" s="447"/>
      <c r="DM6" s="447"/>
      <c r="DN6" s="447"/>
      <c r="DO6" s="447"/>
      <c r="DP6" s="448"/>
      <c r="DQ6" s="462" t="s">
        <v>9</v>
      </c>
      <c r="DR6" s="463"/>
      <c r="DS6" s="463"/>
      <c r="DT6" s="463"/>
      <c r="DU6" s="463"/>
      <c r="DV6" s="464"/>
      <c r="DW6" s="465" t="s">
        <v>74</v>
      </c>
      <c r="DX6" s="466"/>
      <c r="DY6" s="466"/>
      <c r="DZ6" s="466"/>
      <c r="EA6" s="466"/>
      <c r="EB6" s="466"/>
      <c r="EC6" s="467" t="s">
        <v>11</v>
      </c>
      <c r="ED6" s="468"/>
      <c r="EE6" s="468"/>
      <c r="EF6" s="468"/>
      <c r="EG6" s="468"/>
      <c r="EH6" s="469"/>
      <c r="EI6" s="472" t="s">
        <v>224</v>
      </c>
      <c r="EJ6" s="473"/>
      <c r="EK6" s="473"/>
      <c r="EL6" s="473"/>
      <c r="EM6" s="473"/>
      <c r="EN6" s="474"/>
      <c r="EO6" s="475" t="s">
        <v>225</v>
      </c>
      <c r="EP6" s="476"/>
      <c r="EQ6" s="476"/>
      <c r="ER6" s="476"/>
      <c r="ES6" s="476"/>
      <c r="ET6" s="477"/>
      <c r="EU6" s="440" t="s">
        <v>272</v>
      </c>
      <c r="EV6" s="438"/>
      <c r="EW6" s="438"/>
      <c r="EX6" s="438"/>
      <c r="EY6" s="438"/>
      <c r="EZ6" s="438"/>
      <c r="FA6" s="179"/>
      <c r="FB6" s="180"/>
      <c r="FC6" s="180"/>
      <c r="FD6" s="180" t="s">
        <v>12</v>
      </c>
      <c r="FE6" s="180"/>
      <c r="FF6" s="181"/>
      <c r="FI6" s="68"/>
      <c r="FJ6" s="68"/>
    </row>
    <row r="7" spans="1:199" s="69" customFormat="1" ht="13.5" thickBot="1" x14ac:dyDescent="0.25">
      <c r="A7" s="3"/>
      <c r="B7" s="24" t="s">
        <v>13</v>
      </c>
      <c r="C7" s="25" t="s">
        <v>14</v>
      </c>
      <c r="D7" s="25" t="s">
        <v>15</v>
      </c>
      <c r="E7" s="25" t="s">
        <v>16</v>
      </c>
      <c r="F7" s="26" t="s">
        <v>17</v>
      </c>
      <c r="G7" s="27" t="s">
        <v>13</v>
      </c>
      <c r="H7" s="25" t="s">
        <v>14</v>
      </c>
      <c r="I7" s="25" t="s">
        <v>15</v>
      </c>
      <c r="J7" s="25" t="s">
        <v>16</v>
      </c>
      <c r="K7" s="26" t="s">
        <v>17</v>
      </c>
      <c r="L7" s="27" t="s">
        <v>13</v>
      </c>
      <c r="M7" s="25" t="s">
        <v>14</v>
      </c>
      <c r="N7" s="25" t="s">
        <v>15</v>
      </c>
      <c r="O7" s="25" t="s">
        <v>16</v>
      </c>
      <c r="P7" s="26" t="s">
        <v>17</v>
      </c>
      <c r="Q7" s="27" t="s">
        <v>13</v>
      </c>
      <c r="R7" s="25" t="s">
        <v>14</v>
      </c>
      <c r="S7" s="25" t="s">
        <v>15</v>
      </c>
      <c r="T7" s="25" t="s">
        <v>16</v>
      </c>
      <c r="U7" s="26" t="s">
        <v>17</v>
      </c>
      <c r="V7" s="27" t="s">
        <v>13</v>
      </c>
      <c r="W7" s="25" t="s">
        <v>14</v>
      </c>
      <c r="X7" s="25" t="s">
        <v>15</v>
      </c>
      <c r="Y7" s="25" t="s">
        <v>16</v>
      </c>
      <c r="Z7" s="26" t="s">
        <v>17</v>
      </c>
      <c r="AA7" s="27" t="s">
        <v>13</v>
      </c>
      <c r="AB7" s="25" t="s">
        <v>14</v>
      </c>
      <c r="AC7" s="25" t="s">
        <v>15</v>
      </c>
      <c r="AD7" s="25" t="s">
        <v>16</v>
      </c>
      <c r="AE7" s="26" t="s">
        <v>17</v>
      </c>
      <c r="AF7" s="27" t="s">
        <v>13</v>
      </c>
      <c r="AG7" s="25" t="s">
        <v>14</v>
      </c>
      <c r="AH7" s="25" t="s">
        <v>15</v>
      </c>
      <c r="AI7" s="25" t="s">
        <v>16</v>
      </c>
      <c r="AJ7" s="26" t="s">
        <v>17</v>
      </c>
      <c r="AK7" s="27" t="s">
        <v>13</v>
      </c>
      <c r="AL7" s="25" t="s">
        <v>14</v>
      </c>
      <c r="AM7" s="25" t="s">
        <v>15</v>
      </c>
      <c r="AN7" s="25" t="s">
        <v>16</v>
      </c>
      <c r="AO7" s="26" t="s">
        <v>17</v>
      </c>
      <c r="AP7" s="27" t="s">
        <v>13</v>
      </c>
      <c r="AQ7" s="25" t="s">
        <v>14</v>
      </c>
      <c r="AR7" s="25" t="s">
        <v>15</v>
      </c>
      <c r="AS7" s="25" t="s">
        <v>16</v>
      </c>
      <c r="AT7" s="26" t="s">
        <v>17</v>
      </c>
      <c r="AU7" s="28" t="s">
        <v>13</v>
      </c>
      <c r="AV7" s="31" t="s">
        <v>14</v>
      </c>
      <c r="AW7" s="25" t="s">
        <v>15</v>
      </c>
      <c r="AX7" s="25" t="s">
        <v>16</v>
      </c>
      <c r="AY7" s="25" t="s">
        <v>17</v>
      </c>
      <c r="AZ7" s="28" t="s">
        <v>13</v>
      </c>
      <c r="BA7" s="31" t="s">
        <v>14</v>
      </c>
      <c r="BB7" s="25" t="s">
        <v>15</v>
      </c>
      <c r="BC7" s="25" t="s">
        <v>16</v>
      </c>
      <c r="BD7" s="25" t="s">
        <v>17</v>
      </c>
      <c r="BE7" s="28" t="s">
        <v>13</v>
      </c>
      <c r="BF7" s="25" t="s">
        <v>14</v>
      </c>
      <c r="BG7" s="25" t="s">
        <v>15</v>
      </c>
      <c r="BH7" s="25" t="s">
        <v>16</v>
      </c>
      <c r="BI7" s="25" t="s">
        <v>17</v>
      </c>
      <c r="BJ7" s="28" t="s">
        <v>13</v>
      </c>
      <c r="BK7" s="25" t="s">
        <v>14</v>
      </c>
      <c r="BL7" s="25" t="s">
        <v>15</v>
      </c>
      <c r="BM7" s="25" t="s">
        <v>16</v>
      </c>
      <c r="BN7" s="161" t="s">
        <v>17</v>
      </c>
      <c r="BO7" s="28" t="s">
        <v>13</v>
      </c>
      <c r="BP7" s="25" t="s">
        <v>14</v>
      </c>
      <c r="BQ7" s="25" t="s">
        <v>202</v>
      </c>
      <c r="BR7" s="25" t="s">
        <v>15</v>
      </c>
      <c r="BS7" s="25" t="s">
        <v>16</v>
      </c>
      <c r="BT7" s="161" t="s">
        <v>17</v>
      </c>
      <c r="BU7" s="28" t="s">
        <v>13</v>
      </c>
      <c r="BV7" s="25" t="s">
        <v>14</v>
      </c>
      <c r="BW7" s="25" t="s">
        <v>202</v>
      </c>
      <c r="BX7" s="25" t="s">
        <v>15</v>
      </c>
      <c r="BY7" s="25" t="s">
        <v>16</v>
      </c>
      <c r="BZ7" s="161" t="s">
        <v>17</v>
      </c>
      <c r="CA7" s="28" t="s">
        <v>13</v>
      </c>
      <c r="CB7" s="25" t="s">
        <v>14</v>
      </c>
      <c r="CC7" s="25" t="s">
        <v>202</v>
      </c>
      <c r="CD7" s="25" t="s">
        <v>15</v>
      </c>
      <c r="CE7" s="25" t="s">
        <v>16</v>
      </c>
      <c r="CF7" s="146" t="s">
        <v>17</v>
      </c>
      <c r="CG7" s="28" t="s">
        <v>13</v>
      </c>
      <c r="CH7" s="25" t="s">
        <v>14</v>
      </c>
      <c r="CI7" s="25" t="s">
        <v>202</v>
      </c>
      <c r="CJ7" s="25" t="s">
        <v>15</v>
      </c>
      <c r="CK7" s="25" t="s">
        <v>16</v>
      </c>
      <c r="CL7" s="25" t="s">
        <v>17</v>
      </c>
      <c r="CM7" s="28" t="s">
        <v>13</v>
      </c>
      <c r="CN7" s="25" t="s">
        <v>14</v>
      </c>
      <c r="CO7" s="25" t="s">
        <v>202</v>
      </c>
      <c r="CP7" s="25" t="s">
        <v>15</v>
      </c>
      <c r="CQ7" s="25" t="s">
        <v>16</v>
      </c>
      <c r="CR7" s="146" t="s">
        <v>17</v>
      </c>
      <c r="CS7" s="28" t="s">
        <v>13</v>
      </c>
      <c r="CT7" s="25" t="s">
        <v>14</v>
      </c>
      <c r="CU7" s="25" t="s">
        <v>202</v>
      </c>
      <c r="CV7" s="25" t="s">
        <v>15</v>
      </c>
      <c r="CW7" s="25" t="s">
        <v>16</v>
      </c>
      <c r="CX7" s="25" t="s">
        <v>17</v>
      </c>
      <c r="CY7" s="28" t="s">
        <v>13</v>
      </c>
      <c r="CZ7" s="25" t="s">
        <v>14</v>
      </c>
      <c r="DA7" s="25" t="s">
        <v>202</v>
      </c>
      <c r="DB7" s="25" t="s">
        <v>15</v>
      </c>
      <c r="DC7" s="25" t="s">
        <v>16</v>
      </c>
      <c r="DD7" s="25" t="s">
        <v>17</v>
      </c>
      <c r="DE7" s="225" t="s">
        <v>13</v>
      </c>
      <c r="DF7" s="209" t="s">
        <v>14</v>
      </c>
      <c r="DG7" s="209" t="s">
        <v>202</v>
      </c>
      <c r="DH7" s="209" t="s">
        <v>15</v>
      </c>
      <c r="DI7" s="209" t="s">
        <v>16</v>
      </c>
      <c r="DJ7" s="226" t="s">
        <v>17</v>
      </c>
      <c r="DK7" s="28" t="s">
        <v>13</v>
      </c>
      <c r="DL7" s="25" t="s">
        <v>14</v>
      </c>
      <c r="DM7" s="25" t="s">
        <v>202</v>
      </c>
      <c r="DN7" s="25" t="s">
        <v>15</v>
      </c>
      <c r="DO7" s="25" t="s">
        <v>16</v>
      </c>
      <c r="DP7" s="25" t="s">
        <v>17</v>
      </c>
      <c r="DQ7" s="225" t="s">
        <v>13</v>
      </c>
      <c r="DR7" s="209" t="s">
        <v>14</v>
      </c>
      <c r="DS7" s="209" t="s">
        <v>202</v>
      </c>
      <c r="DT7" s="209" t="s">
        <v>15</v>
      </c>
      <c r="DU7" s="209" t="s">
        <v>16</v>
      </c>
      <c r="DV7" s="209" t="s">
        <v>17</v>
      </c>
      <c r="DW7" s="225" t="s">
        <v>13</v>
      </c>
      <c r="DX7" s="209" t="s">
        <v>14</v>
      </c>
      <c r="DY7" s="209" t="s">
        <v>202</v>
      </c>
      <c r="DZ7" s="209" t="s">
        <v>15</v>
      </c>
      <c r="EA7" s="209" t="s">
        <v>16</v>
      </c>
      <c r="EB7" s="209" t="s">
        <v>17</v>
      </c>
      <c r="EC7" s="225" t="s">
        <v>13</v>
      </c>
      <c r="ED7" s="209" t="s">
        <v>14</v>
      </c>
      <c r="EE7" s="209" t="s">
        <v>202</v>
      </c>
      <c r="EF7" s="209" t="s">
        <v>15</v>
      </c>
      <c r="EG7" s="209" t="s">
        <v>16</v>
      </c>
      <c r="EH7" s="209" t="s">
        <v>17</v>
      </c>
      <c r="EI7" s="225" t="s">
        <v>13</v>
      </c>
      <c r="EJ7" s="209" t="s">
        <v>14</v>
      </c>
      <c r="EK7" s="209" t="s">
        <v>202</v>
      </c>
      <c r="EL7" s="209" t="s">
        <v>15</v>
      </c>
      <c r="EM7" s="209" t="s">
        <v>16</v>
      </c>
      <c r="EN7" s="209" t="s">
        <v>17</v>
      </c>
      <c r="EO7" s="225" t="s">
        <v>13</v>
      </c>
      <c r="EP7" s="209" t="s">
        <v>14</v>
      </c>
      <c r="EQ7" s="209" t="s">
        <v>202</v>
      </c>
      <c r="ER7" s="209" t="s">
        <v>15</v>
      </c>
      <c r="ES7" s="209" t="s">
        <v>16</v>
      </c>
      <c r="ET7" s="209" t="s">
        <v>17</v>
      </c>
      <c r="EU7" s="225" t="s">
        <v>13</v>
      </c>
      <c r="EV7" s="209" t="s">
        <v>14</v>
      </c>
      <c r="EW7" s="209" t="s">
        <v>202</v>
      </c>
      <c r="EX7" s="209" t="s">
        <v>15</v>
      </c>
      <c r="EY7" s="209" t="s">
        <v>16</v>
      </c>
      <c r="EZ7" s="209" t="s">
        <v>17</v>
      </c>
      <c r="FA7" s="209" t="s">
        <v>13</v>
      </c>
      <c r="FB7" s="209" t="s">
        <v>14</v>
      </c>
      <c r="FC7" s="209" t="s">
        <v>202</v>
      </c>
      <c r="FD7" s="209" t="s">
        <v>15</v>
      </c>
      <c r="FE7" s="209" t="s">
        <v>16</v>
      </c>
      <c r="FF7" s="230" t="s">
        <v>17</v>
      </c>
      <c r="FG7" s="30"/>
      <c r="FH7" s="291"/>
      <c r="FI7" s="292"/>
      <c r="FJ7" s="292"/>
      <c r="FK7" s="68"/>
      <c r="FL7" s="68"/>
      <c r="FM7" s="68"/>
      <c r="FN7" s="68"/>
      <c r="FO7" s="68"/>
      <c r="FP7" s="68"/>
    </row>
    <row r="8" spans="1:199" ht="12" customHeight="1" x14ac:dyDescent="0.2">
      <c r="A8" s="60" t="s">
        <v>18</v>
      </c>
      <c r="B8" s="61">
        <v>146</v>
      </c>
      <c r="C8" s="32">
        <v>0</v>
      </c>
      <c r="D8" s="62">
        <v>0</v>
      </c>
      <c r="E8" s="32">
        <v>0</v>
      </c>
      <c r="F8" s="63">
        <f>SUM(B8+C8)</f>
        <v>146</v>
      </c>
      <c r="G8" s="61">
        <v>98</v>
      </c>
      <c r="H8" s="32">
        <v>0</v>
      </c>
      <c r="I8" s="32">
        <v>0</v>
      </c>
      <c r="J8" s="32">
        <v>0</v>
      </c>
      <c r="K8" s="64">
        <f>SUM(G8+H8)</f>
        <v>98</v>
      </c>
      <c r="L8" s="182">
        <v>102</v>
      </c>
      <c r="M8" s="32">
        <v>0</v>
      </c>
      <c r="N8" s="32">
        <v>0</v>
      </c>
      <c r="O8" s="32">
        <v>0</v>
      </c>
      <c r="P8" s="196">
        <f>SUM(L8+M8)</f>
        <v>102</v>
      </c>
      <c r="Q8" s="65"/>
      <c r="R8" s="32"/>
      <c r="S8" s="32"/>
      <c r="T8" s="32"/>
      <c r="U8" s="64"/>
      <c r="V8" s="118"/>
      <c r="W8" s="99"/>
      <c r="X8" s="99"/>
      <c r="Y8" s="99"/>
      <c r="Z8" s="119"/>
      <c r="AA8" s="202"/>
      <c r="AB8" s="99"/>
      <c r="AC8" s="99"/>
      <c r="AD8" s="99"/>
      <c r="AE8" s="202"/>
      <c r="AF8" s="118"/>
      <c r="AG8" s="99"/>
      <c r="AH8" s="99"/>
      <c r="AI8" s="99"/>
      <c r="AJ8" s="119"/>
      <c r="AK8" s="202"/>
      <c r="AL8" s="99"/>
      <c r="AM8" s="99"/>
      <c r="AN8" s="99"/>
      <c r="AO8" s="202"/>
      <c r="AP8" s="118"/>
      <c r="AQ8" s="99"/>
      <c r="AR8" s="99"/>
      <c r="AS8" s="99"/>
      <c r="AT8" s="119"/>
      <c r="AU8" s="210"/>
      <c r="AV8" s="99"/>
      <c r="AW8" s="99"/>
      <c r="AX8" s="99"/>
      <c r="AY8" s="162"/>
      <c r="AZ8" s="147"/>
      <c r="BA8" s="99"/>
      <c r="BB8" s="99"/>
      <c r="BC8" s="99"/>
      <c r="BD8" s="107"/>
      <c r="BE8" s="210"/>
      <c r="BF8" s="99"/>
      <c r="BG8" s="99"/>
      <c r="BH8" s="99"/>
      <c r="BI8" s="162"/>
      <c r="BJ8" s="147"/>
      <c r="BK8" s="99"/>
      <c r="BL8" s="99"/>
      <c r="BM8" s="99"/>
      <c r="BN8" s="107"/>
      <c r="BO8" s="171"/>
      <c r="BP8" s="101"/>
      <c r="BQ8" s="101"/>
      <c r="BR8" s="101"/>
      <c r="BS8" s="101"/>
      <c r="BT8" s="164"/>
      <c r="BU8" s="214"/>
      <c r="BV8" s="215"/>
      <c r="BW8" s="215"/>
      <c r="BX8" s="215"/>
      <c r="BY8" s="215"/>
      <c r="BZ8" s="216"/>
      <c r="CA8" s="174"/>
      <c r="CB8" s="174"/>
      <c r="CC8" s="174"/>
      <c r="CD8" s="174"/>
      <c r="CE8" s="174"/>
      <c r="CF8" s="221"/>
      <c r="CG8" s="214"/>
      <c r="CH8" s="215"/>
      <c r="CI8" s="215"/>
      <c r="CJ8" s="215"/>
      <c r="CK8" s="215"/>
      <c r="CL8" s="216"/>
      <c r="CM8" s="174"/>
      <c r="CN8" s="174"/>
      <c r="CO8" s="174"/>
      <c r="CP8" s="174"/>
      <c r="CQ8" s="174"/>
      <c r="CR8" s="221"/>
      <c r="CS8" s="214"/>
      <c r="CT8" s="215"/>
      <c r="CU8" s="215"/>
      <c r="CV8" s="215"/>
      <c r="CW8" s="215"/>
      <c r="CX8" s="216"/>
      <c r="CY8" s="214"/>
      <c r="CZ8" s="215"/>
      <c r="DA8" s="215"/>
      <c r="DB8" s="215"/>
      <c r="DC8" s="215"/>
      <c r="DD8" s="216"/>
      <c r="DE8" s="174"/>
      <c r="DF8" s="174"/>
      <c r="DG8" s="174"/>
      <c r="DH8" s="174"/>
      <c r="DI8" s="174"/>
      <c r="DJ8" s="221"/>
      <c r="DK8" s="214"/>
      <c r="DL8" s="215"/>
      <c r="DM8" s="215"/>
      <c r="DN8" s="215"/>
      <c r="DO8" s="215"/>
      <c r="DP8" s="216"/>
      <c r="DQ8" s="174"/>
      <c r="DR8" s="174"/>
      <c r="DS8" s="174"/>
      <c r="DT8" s="174"/>
      <c r="DU8" s="174"/>
      <c r="DV8" s="221"/>
      <c r="DW8" s="214"/>
      <c r="DX8" s="215"/>
      <c r="DY8" s="215"/>
      <c r="DZ8" s="215"/>
      <c r="EA8" s="215"/>
      <c r="EB8" s="216"/>
      <c r="EC8" s="214"/>
      <c r="ED8" s="215"/>
      <c r="EE8" s="215"/>
      <c r="EF8" s="215"/>
      <c r="EG8" s="215"/>
      <c r="EH8" s="216"/>
      <c r="EI8" s="214"/>
      <c r="EJ8" s="215"/>
      <c r="EK8" s="215"/>
      <c r="EL8" s="215"/>
      <c r="EM8" s="215"/>
      <c r="EN8" s="216"/>
      <c r="EO8" s="214"/>
      <c r="EP8" s="215"/>
      <c r="EQ8" s="215"/>
      <c r="ER8" s="215"/>
      <c r="ES8" s="215"/>
      <c r="ET8" s="216"/>
      <c r="EU8" s="221"/>
      <c r="EV8" s="221"/>
      <c r="EW8" s="221"/>
      <c r="EX8" s="221"/>
      <c r="EY8" s="221"/>
      <c r="EZ8" s="221"/>
      <c r="FA8" s="174">
        <v>346</v>
      </c>
      <c r="FB8" s="227">
        <f>SUM(C8+H8+M8+R8+W8+AB8+AG8+AL8+AQ8+AV8+BA8+BF8)</f>
        <v>0</v>
      </c>
      <c r="FC8" s="227">
        <f>SUM(D8+I8+N8+S8+X8+AC8+AH8+AM8+AR8+AW8+BB8+BG8)</f>
        <v>0</v>
      </c>
      <c r="FD8" s="228">
        <v>0</v>
      </c>
      <c r="FE8" s="228">
        <f t="shared" ref="FE8:FE13" si="0">SUM(E8+J8+O8+T8+Y8+AD8+AI8+AN8+AS8+AX8+BC8+BH8)</f>
        <v>0</v>
      </c>
      <c r="FF8" s="229">
        <f t="shared" ref="FF8:FF17" si="1">SUM(FA8+FB8)</f>
        <v>346</v>
      </c>
      <c r="FH8" s="442"/>
      <c r="FI8" s="443"/>
      <c r="FJ8" s="443"/>
      <c r="FK8" s="258"/>
      <c r="FL8" s="258"/>
      <c r="FM8" s="258"/>
      <c r="FN8" s="237"/>
      <c r="FO8" s="258"/>
      <c r="FP8" s="258"/>
      <c r="FQ8" s="258"/>
      <c r="FR8" s="258"/>
      <c r="FS8" s="444"/>
      <c r="FT8" s="445"/>
      <c r="FU8" s="445"/>
      <c r="FV8" s="445"/>
      <c r="FW8" s="445"/>
      <c r="FX8" s="459"/>
      <c r="FY8" s="445"/>
      <c r="FZ8" s="445"/>
      <c r="GA8" s="445"/>
      <c r="GB8" s="445"/>
      <c r="GC8" s="459"/>
      <c r="GD8" s="445"/>
      <c r="GE8" s="445"/>
      <c r="GF8" s="445"/>
      <c r="GG8" s="445"/>
      <c r="GH8" s="459"/>
      <c r="GI8" s="445"/>
      <c r="GJ8" s="445"/>
      <c r="GK8" s="445"/>
      <c r="GL8" s="445"/>
      <c r="GM8" s="444"/>
      <c r="GN8" s="445"/>
      <c r="GO8" s="445"/>
      <c r="GP8" s="445"/>
      <c r="GQ8" s="445"/>
    </row>
    <row r="9" spans="1:199" ht="12" customHeight="1" x14ac:dyDescent="0.2">
      <c r="A9" s="41" t="s">
        <v>19</v>
      </c>
      <c r="B9" s="8">
        <v>81</v>
      </c>
      <c r="C9" s="6">
        <v>65</v>
      </c>
      <c r="D9" s="4">
        <f>SUM(F8-C9-E8)</f>
        <v>81</v>
      </c>
      <c r="E9" s="6">
        <v>0</v>
      </c>
      <c r="F9" s="44">
        <f t="shared" ref="F9:F22" si="2">SUM(B9+C9)</f>
        <v>146</v>
      </c>
      <c r="G9" s="8">
        <v>71</v>
      </c>
      <c r="H9" s="6">
        <v>63</v>
      </c>
      <c r="I9" s="6">
        <f>SUM(K8-H9-J8)</f>
        <v>35</v>
      </c>
      <c r="J9" s="6">
        <v>0</v>
      </c>
      <c r="K9" s="53">
        <f t="shared" ref="K9:K22" si="3">SUM(G9+H9)</f>
        <v>134</v>
      </c>
      <c r="L9" s="183">
        <v>74</v>
      </c>
      <c r="M9" s="6">
        <v>48</v>
      </c>
      <c r="N9" s="6">
        <f>SUM(P8-M9-O8)</f>
        <v>54</v>
      </c>
      <c r="O9" s="6">
        <v>0</v>
      </c>
      <c r="P9" s="187">
        <f t="shared" ref="P9:P22" si="4">SUM(L9+M9)</f>
        <v>122</v>
      </c>
      <c r="Q9" s="10"/>
      <c r="R9" s="6"/>
      <c r="S9" s="6"/>
      <c r="T9" s="6"/>
      <c r="U9" s="57"/>
      <c r="V9" s="120"/>
      <c r="W9" s="100"/>
      <c r="X9" s="100"/>
      <c r="Y9" s="100"/>
      <c r="Z9" s="121"/>
      <c r="AA9" s="203"/>
      <c r="AB9" s="100"/>
      <c r="AC9" s="100"/>
      <c r="AD9" s="100"/>
      <c r="AE9" s="203"/>
      <c r="AF9" s="120"/>
      <c r="AG9" s="100"/>
      <c r="AH9" s="100"/>
      <c r="AI9" s="100"/>
      <c r="AJ9" s="121"/>
      <c r="AK9" s="203"/>
      <c r="AL9" s="100"/>
      <c r="AM9" s="100"/>
      <c r="AN9" s="100"/>
      <c r="AO9" s="203"/>
      <c r="AP9" s="120"/>
      <c r="AQ9" s="100"/>
      <c r="AR9" s="100"/>
      <c r="AS9" s="100"/>
      <c r="AT9" s="121"/>
      <c r="AU9" s="170"/>
      <c r="AV9" s="101"/>
      <c r="AW9" s="100"/>
      <c r="AX9" s="100"/>
      <c r="AY9" s="163"/>
      <c r="AZ9" s="148"/>
      <c r="BA9" s="101"/>
      <c r="BB9" s="100"/>
      <c r="BC9" s="100"/>
      <c r="BD9" s="108"/>
      <c r="BE9" s="170"/>
      <c r="BF9" s="100"/>
      <c r="BG9" s="100"/>
      <c r="BH9" s="100"/>
      <c r="BI9" s="163"/>
      <c r="BJ9" s="148"/>
      <c r="BK9" s="100"/>
      <c r="BL9" s="100"/>
      <c r="BM9" s="100"/>
      <c r="BN9" s="108"/>
      <c r="BO9" s="170"/>
      <c r="BP9" s="100"/>
      <c r="BQ9" s="100"/>
      <c r="BR9" s="100"/>
      <c r="BS9" s="100"/>
      <c r="BT9" s="163"/>
      <c r="BU9" s="148"/>
      <c r="BV9" s="170"/>
      <c r="BW9" s="170"/>
      <c r="BX9" s="170"/>
      <c r="BY9" s="170"/>
      <c r="BZ9" s="121"/>
      <c r="CA9" s="170"/>
      <c r="CB9" s="170"/>
      <c r="CC9" s="170"/>
      <c r="CD9" s="170"/>
      <c r="CE9" s="170"/>
      <c r="CF9" s="203"/>
      <c r="CG9" s="148"/>
      <c r="CH9" s="170"/>
      <c r="CI9" s="170"/>
      <c r="CJ9" s="170"/>
      <c r="CK9" s="170"/>
      <c r="CL9" s="121"/>
      <c r="CM9" s="170"/>
      <c r="CN9" s="170"/>
      <c r="CO9" s="170"/>
      <c r="CP9" s="170"/>
      <c r="CQ9" s="170"/>
      <c r="CR9" s="203"/>
      <c r="CS9" s="148"/>
      <c r="CT9" s="170"/>
      <c r="CU9" s="170"/>
      <c r="CV9" s="170"/>
      <c r="CW9" s="170"/>
      <c r="CX9" s="121"/>
      <c r="CY9" s="148"/>
      <c r="CZ9" s="170"/>
      <c r="DA9" s="170"/>
      <c r="DB9" s="170"/>
      <c r="DC9" s="170"/>
      <c r="DD9" s="121"/>
      <c r="DE9" s="170"/>
      <c r="DF9" s="170"/>
      <c r="DG9" s="170"/>
      <c r="DH9" s="170"/>
      <c r="DI9" s="170"/>
      <c r="DJ9" s="203"/>
      <c r="DK9" s="148"/>
      <c r="DL9" s="170"/>
      <c r="DM9" s="170"/>
      <c r="DN9" s="170"/>
      <c r="DO9" s="170"/>
      <c r="DP9" s="121"/>
      <c r="DQ9" s="170"/>
      <c r="DR9" s="170"/>
      <c r="DS9" s="170"/>
      <c r="DT9" s="170"/>
      <c r="DU9" s="170"/>
      <c r="DV9" s="203"/>
      <c r="DW9" s="148"/>
      <c r="DX9" s="170"/>
      <c r="DY9" s="170"/>
      <c r="DZ9" s="170"/>
      <c r="EA9" s="170"/>
      <c r="EB9" s="121"/>
      <c r="EC9" s="148"/>
      <c r="ED9" s="170"/>
      <c r="EE9" s="170"/>
      <c r="EF9" s="170"/>
      <c r="EG9" s="170"/>
      <c r="EH9" s="121"/>
      <c r="EI9" s="148"/>
      <c r="EJ9" s="170"/>
      <c r="EK9" s="170"/>
      <c r="EL9" s="170"/>
      <c r="EM9" s="170"/>
      <c r="EN9" s="121"/>
      <c r="EO9" s="148"/>
      <c r="EP9" s="170"/>
      <c r="EQ9" s="170"/>
      <c r="ER9" s="170"/>
      <c r="ES9" s="170"/>
      <c r="ET9" s="121"/>
      <c r="EU9" s="203"/>
      <c r="EV9" s="203"/>
      <c r="EW9" s="203"/>
      <c r="EX9" s="203"/>
      <c r="EY9" s="203"/>
      <c r="EZ9" s="203"/>
      <c r="FA9" s="170">
        <f>SUM(B9+G9+L9+Q9+V9+AA9+AF9+AK9+AP9+AU9+AZ9+BE9)</f>
        <v>226</v>
      </c>
      <c r="FB9" s="100">
        <f t="shared" ref="FB9:FB40" si="5">SUM(C9+H9+M9+R9+W9+AB9+AG9+AL9+AQ9+AV9+BA9+BF9+BK9)</f>
        <v>176</v>
      </c>
      <c r="FC9" s="227">
        <f t="shared" ref="FC9:FC25" si="6">SUM(D9+I9+N9+S9+X9+AC9+AH9+AM9+AR9+AW9+BB9+BG9)</f>
        <v>170</v>
      </c>
      <c r="FD9" s="100">
        <f t="shared" ref="FD9:FD22" si="7">SUM(FF8-FB9-FE8)</f>
        <v>170</v>
      </c>
      <c r="FE9" s="137">
        <f t="shared" si="0"/>
        <v>0</v>
      </c>
      <c r="FF9" s="138">
        <f t="shared" si="1"/>
        <v>402</v>
      </c>
      <c r="FH9" s="442"/>
      <c r="FI9" s="443"/>
      <c r="FJ9" s="443"/>
      <c r="FK9" s="258"/>
      <c r="FL9" s="258"/>
      <c r="FM9" s="258"/>
      <c r="FN9" s="237"/>
      <c r="FO9" s="258"/>
      <c r="FP9" s="258"/>
      <c r="FQ9" s="258"/>
      <c r="FR9" s="258"/>
      <c r="FS9" s="444"/>
      <c r="FT9" s="445"/>
      <c r="FU9" s="445"/>
      <c r="FV9" s="445"/>
      <c r="FW9" s="445"/>
      <c r="FX9" s="459"/>
      <c r="FY9" s="445"/>
      <c r="FZ9" s="445"/>
      <c r="GA9" s="445"/>
      <c r="GB9" s="445"/>
      <c r="GC9" s="459"/>
      <c r="GD9" s="445"/>
      <c r="GE9" s="445"/>
      <c r="GF9" s="445"/>
      <c r="GG9" s="445"/>
      <c r="GH9" s="459"/>
      <c r="GI9" s="445"/>
      <c r="GJ9" s="445"/>
      <c r="GK9" s="445"/>
      <c r="GL9" s="445"/>
      <c r="GM9" s="444"/>
      <c r="GN9" s="445"/>
      <c r="GO9" s="445"/>
      <c r="GP9" s="445"/>
      <c r="GQ9" s="445"/>
    </row>
    <row r="10" spans="1:199" ht="12" customHeight="1" x14ac:dyDescent="0.2">
      <c r="A10" s="66" t="s">
        <v>20</v>
      </c>
      <c r="B10" s="58">
        <v>140</v>
      </c>
      <c r="C10" s="33">
        <v>94</v>
      </c>
      <c r="D10" s="36">
        <f t="shared" ref="D10:D22" si="8">SUM(F9-C10-E9)</f>
        <v>52</v>
      </c>
      <c r="E10" s="33">
        <v>0</v>
      </c>
      <c r="F10" s="50">
        <f t="shared" si="2"/>
        <v>234</v>
      </c>
      <c r="G10" s="58">
        <v>103</v>
      </c>
      <c r="H10" s="33">
        <v>87</v>
      </c>
      <c r="I10" s="33">
        <f t="shared" ref="I10:I22" si="9">SUM(K9-H10-J9)</f>
        <v>47</v>
      </c>
      <c r="J10" s="33">
        <v>0</v>
      </c>
      <c r="K10" s="54">
        <f t="shared" si="3"/>
        <v>190</v>
      </c>
      <c r="L10" s="184">
        <v>77</v>
      </c>
      <c r="M10" s="33">
        <v>87</v>
      </c>
      <c r="N10" s="33">
        <f t="shared" ref="N10:N22" si="10">SUM(P9-M10-O9)</f>
        <v>35</v>
      </c>
      <c r="O10" s="33">
        <v>0</v>
      </c>
      <c r="P10" s="197">
        <f t="shared" si="4"/>
        <v>164</v>
      </c>
      <c r="Q10" s="67">
        <v>101</v>
      </c>
      <c r="R10" s="33">
        <v>0</v>
      </c>
      <c r="S10" s="33">
        <f t="shared" ref="S10:S22" si="11">SUM(U9-R10-T9)</f>
        <v>0</v>
      </c>
      <c r="T10" s="33">
        <v>0</v>
      </c>
      <c r="U10" s="59">
        <f t="shared" ref="U10:U22" si="12">SUM(Q10+R10)</f>
        <v>101</v>
      </c>
      <c r="V10" s="122"/>
      <c r="W10" s="101"/>
      <c r="X10" s="101"/>
      <c r="Y10" s="101"/>
      <c r="Z10" s="123"/>
      <c r="AA10" s="204"/>
      <c r="AB10" s="101"/>
      <c r="AC10" s="101"/>
      <c r="AD10" s="101"/>
      <c r="AE10" s="204"/>
      <c r="AF10" s="122"/>
      <c r="AG10" s="101"/>
      <c r="AH10" s="101"/>
      <c r="AI10" s="101"/>
      <c r="AJ10" s="123"/>
      <c r="AK10" s="204"/>
      <c r="AL10" s="101"/>
      <c r="AM10" s="101"/>
      <c r="AN10" s="101"/>
      <c r="AO10" s="204"/>
      <c r="AP10" s="122"/>
      <c r="AQ10" s="101"/>
      <c r="AR10" s="101"/>
      <c r="AS10" s="101"/>
      <c r="AT10" s="123"/>
      <c r="AU10" s="171"/>
      <c r="AV10" s="101"/>
      <c r="AW10" s="101"/>
      <c r="AX10" s="101"/>
      <c r="AY10" s="164"/>
      <c r="AZ10" s="128"/>
      <c r="BA10" s="101"/>
      <c r="BB10" s="101"/>
      <c r="BC10" s="101"/>
      <c r="BD10" s="109"/>
      <c r="BE10" s="171"/>
      <c r="BF10" s="101"/>
      <c r="BG10" s="101"/>
      <c r="BH10" s="101"/>
      <c r="BI10" s="164"/>
      <c r="BJ10" s="128"/>
      <c r="BK10" s="101"/>
      <c r="BL10" s="101"/>
      <c r="BM10" s="101"/>
      <c r="BN10" s="109"/>
      <c r="BO10" s="171"/>
      <c r="BP10" s="101"/>
      <c r="BQ10" s="101"/>
      <c r="BR10" s="101"/>
      <c r="BS10" s="101"/>
      <c r="BT10" s="164"/>
      <c r="BU10" s="128"/>
      <c r="BV10" s="171"/>
      <c r="BW10" s="171"/>
      <c r="BX10" s="171"/>
      <c r="BY10" s="171"/>
      <c r="BZ10" s="123"/>
      <c r="CA10" s="171"/>
      <c r="CB10" s="171"/>
      <c r="CC10" s="171"/>
      <c r="CD10" s="171"/>
      <c r="CE10" s="171"/>
      <c r="CF10" s="204"/>
      <c r="CG10" s="128"/>
      <c r="CH10" s="171"/>
      <c r="CI10" s="171"/>
      <c r="CJ10" s="171"/>
      <c r="CK10" s="171"/>
      <c r="CL10" s="123"/>
      <c r="CM10" s="171"/>
      <c r="CN10" s="171"/>
      <c r="CO10" s="171"/>
      <c r="CP10" s="171"/>
      <c r="CQ10" s="171"/>
      <c r="CR10" s="204"/>
      <c r="CS10" s="128"/>
      <c r="CT10" s="171"/>
      <c r="CU10" s="171"/>
      <c r="CV10" s="171"/>
      <c r="CW10" s="171"/>
      <c r="CX10" s="123"/>
      <c r="CY10" s="128"/>
      <c r="CZ10" s="171"/>
      <c r="DA10" s="171"/>
      <c r="DB10" s="171"/>
      <c r="DC10" s="171"/>
      <c r="DD10" s="123"/>
      <c r="DE10" s="171"/>
      <c r="DF10" s="171"/>
      <c r="DG10" s="171"/>
      <c r="DH10" s="171"/>
      <c r="DI10" s="171"/>
      <c r="DJ10" s="204"/>
      <c r="DK10" s="128"/>
      <c r="DL10" s="171"/>
      <c r="DM10" s="171"/>
      <c r="DN10" s="171"/>
      <c r="DO10" s="171"/>
      <c r="DP10" s="123"/>
      <c r="DQ10" s="171"/>
      <c r="DR10" s="171"/>
      <c r="DS10" s="171"/>
      <c r="DT10" s="171"/>
      <c r="DU10" s="171"/>
      <c r="DV10" s="204"/>
      <c r="DW10" s="128"/>
      <c r="DX10" s="171"/>
      <c r="DY10" s="171"/>
      <c r="DZ10" s="171"/>
      <c r="EA10" s="171"/>
      <c r="EB10" s="123"/>
      <c r="EC10" s="128"/>
      <c r="ED10" s="171"/>
      <c r="EE10" s="171"/>
      <c r="EF10" s="171"/>
      <c r="EG10" s="171"/>
      <c r="EH10" s="123"/>
      <c r="EI10" s="128"/>
      <c r="EJ10" s="171"/>
      <c r="EK10" s="171"/>
      <c r="EL10" s="171"/>
      <c r="EM10" s="171"/>
      <c r="EN10" s="123"/>
      <c r="EO10" s="148"/>
      <c r="EP10" s="170"/>
      <c r="EQ10" s="170"/>
      <c r="ER10" s="170"/>
      <c r="ES10" s="170"/>
      <c r="ET10" s="121"/>
      <c r="EU10" s="203"/>
      <c r="EV10" s="203"/>
      <c r="EW10" s="203"/>
      <c r="EX10" s="203"/>
      <c r="EY10" s="203"/>
      <c r="EZ10" s="203"/>
      <c r="FA10" s="171">
        <f t="shared" ref="FA10:FA41" si="13">SUM(B10+G10+L10+Q10+V10+AA10+AF10+AK10+AP10+AU10+AZ10+BE10+BJ10)</f>
        <v>421</v>
      </c>
      <c r="FB10" s="100">
        <f t="shared" si="5"/>
        <v>268</v>
      </c>
      <c r="FC10" s="227">
        <f t="shared" si="6"/>
        <v>134</v>
      </c>
      <c r="FD10" s="101">
        <f t="shared" si="7"/>
        <v>134</v>
      </c>
      <c r="FE10" s="139">
        <f t="shared" si="0"/>
        <v>0</v>
      </c>
      <c r="FF10" s="140">
        <f t="shared" si="1"/>
        <v>689</v>
      </c>
      <c r="FH10" s="442"/>
      <c r="FI10" s="443"/>
      <c r="FJ10" s="443"/>
      <c r="FK10" s="258"/>
      <c r="FL10" s="258"/>
      <c r="FM10" s="258"/>
      <c r="FN10" s="237"/>
      <c r="FO10" s="258"/>
      <c r="FP10" s="258"/>
      <c r="FQ10" s="258"/>
      <c r="FR10" s="258"/>
      <c r="FS10" s="444"/>
      <c r="FT10" s="445"/>
      <c r="FU10" s="445"/>
      <c r="FV10" s="445"/>
      <c r="FW10" s="445"/>
      <c r="FX10" s="459"/>
      <c r="FY10" s="445"/>
      <c r="FZ10" s="445"/>
      <c r="GA10" s="445"/>
      <c r="GB10" s="445"/>
      <c r="GC10" s="459"/>
      <c r="GD10" s="445"/>
      <c r="GE10" s="445"/>
      <c r="GF10" s="445"/>
      <c r="GG10" s="445"/>
      <c r="GH10" s="459"/>
      <c r="GI10" s="445"/>
      <c r="GJ10" s="445"/>
      <c r="GK10" s="445"/>
      <c r="GL10" s="445"/>
      <c r="GM10" s="444"/>
      <c r="GN10" s="445"/>
      <c r="GO10" s="445"/>
      <c r="GP10" s="445"/>
      <c r="GQ10" s="445"/>
    </row>
    <row r="11" spans="1:199" ht="12" customHeight="1" x14ac:dyDescent="0.2">
      <c r="A11" s="41" t="s">
        <v>21</v>
      </c>
      <c r="B11" s="8">
        <v>63</v>
      </c>
      <c r="C11" s="6">
        <v>159</v>
      </c>
      <c r="D11" s="4">
        <f t="shared" si="8"/>
        <v>75</v>
      </c>
      <c r="E11" s="6">
        <v>0</v>
      </c>
      <c r="F11" s="44">
        <f t="shared" si="2"/>
        <v>222</v>
      </c>
      <c r="G11" s="8">
        <v>59</v>
      </c>
      <c r="H11" s="6">
        <v>154</v>
      </c>
      <c r="I11" s="6">
        <f t="shared" si="9"/>
        <v>36</v>
      </c>
      <c r="J11" s="6">
        <v>0</v>
      </c>
      <c r="K11" s="53">
        <f t="shared" si="3"/>
        <v>213</v>
      </c>
      <c r="L11" s="183">
        <v>38</v>
      </c>
      <c r="M11" s="6">
        <v>131</v>
      </c>
      <c r="N11" s="6">
        <f t="shared" si="10"/>
        <v>33</v>
      </c>
      <c r="O11" s="6">
        <v>0</v>
      </c>
      <c r="P11" s="187">
        <f t="shared" si="4"/>
        <v>169</v>
      </c>
      <c r="Q11" s="10">
        <v>44</v>
      </c>
      <c r="R11" s="6">
        <v>84</v>
      </c>
      <c r="S11" s="6">
        <f t="shared" si="11"/>
        <v>17</v>
      </c>
      <c r="T11" s="6">
        <v>0</v>
      </c>
      <c r="U11" s="57">
        <f t="shared" si="12"/>
        <v>128</v>
      </c>
      <c r="V11" s="120"/>
      <c r="W11" s="100"/>
      <c r="X11" s="100"/>
      <c r="Y11" s="100"/>
      <c r="Z11" s="121"/>
      <c r="AA11" s="203"/>
      <c r="AB11" s="100"/>
      <c r="AC11" s="100"/>
      <c r="AD11" s="100"/>
      <c r="AE11" s="203"/>
      <c r="AF11" s="120"/>
      <c r="AG11" s="100"/>
      <c r="AH11" s="100"/>
      <c r="AI11" s="100"/>
      <c r="AJ11" s="121"/>
      <c r="AK11" s="203"/>
      <c r="AL11" s="100"/>
      <c r="AM11" s="100"/>
      <c r="AN11" s="100"/>
      <c r="AO11" s="203"/>
      <c r="AP11" s="120"/>
      <c r="AQ11" s="100"/>
      <c r="AR11" s="100"/>
      <c r="AS11" s="100"/>
      <c r="AT11" s="121"/>
      <c r="AU11" s="170"/>
      <c r="AV11" s="101"/>
      <c r="AW11" s="100"/>
      <c r="AX11" s="100"/>
      <c r="AY11" s="163"/>
      <c r="AZ11" s="148"/>
      <c r="BA11" s="101"/>
      <c r="BB11" s="100"/>
      <c r="BC11" s="100"/>
      <c r="BD11" s="108"/>
      <c r="BE11" s="170"/>
      <c r="BF11" s="100"/>
      <c r="BG11" s="100"/>
      <c r="BH11" s="100"/>
      <c r="BI11" s="163"/>
      <c r="BJ11" s="148"/>
      <c r="BK11" s="100"/>
      <c r="BL11" s="100"/>
      <c r="BM11" s="100"/>
      <c r="BN11" s="108"/>
      <c r="BO11" s="170"/>
      <c r="BP11" s="100"/>
      <c r="BQ11" s="100"/>
      <c r="BR11" s="100"/>
      <c r="BS11" s="100"/>
      <c r="BT11" s="163"/>
      <c r="BU11" s="148"/>
      <c r="BV11" s="170"/>
      <c r="BW11" s="170"/>
      <c r="BX11" s="170"/>
      <c r="BY11" s="170"/>
      <c r="BZ11" s="121"/>
      <c r="CA11" s="170"/>
      <c r="CB11" s="170"/>
      <c r="CC11" s="170"/>
      <c r="CD11" s="170"/>
      <c r="CE11" s="170"/>
      <c r="CF11" s="203"/>
      <c r="CG11" s="148"/>
      <c r="CH11" s="170"/>
      <c r="CI11" s="170"/>
      <c r="CJ11" s="170"/>
      <c r="CK11" s="170"/>
      <c r="CL11" s="121"/>
      <c r="CM11" s="170"/>
      <c r="CN11" s="170"/>
      <c r="CO11" s="170"/>
      <c r="CP11" s="170"/>
      <c r="CQ11" s="170"/>
      <c r="CR11" s="203"/>
      <c r="CS11" s="148"/>
      <c r="CT11" s="170"/>
      <c r="CU11" s="170"/>
      <c r="CV11" s="170"/>
      <c r="CW11" s="170"/>
      <c r="CX11" s="121"/>
      <c r="CY11" s="148"/>
      <c r="CZ11" s="170"/>
      <c r="DA11" s="170"/>
      <c r="DB11" s="170"/>
      <c r="DC11" s="170"/>
      <c r="DD11" s="121"/>
      <c r="DE11" s="170"/>
      <c r="DF11" s="170"/>
      <c r="DG11" s="170"/>
      <c r="DH11" s="170"/>
      <c r="DI11" s="170"/>
      <c r="DJ11" s="203"/>
      <c r="DK11" s="148"/>
      <c r="DL11" s="170"/>
      <c r="DM11" s="170"/>
      <c r="DN11" s="170"/>
      <c r="DO11" s="170"/>
      <c r="DP11" s="121"/>
      <c r="DQ11" s="170"/>
      <c r="DR11" s="170"/>
      <c r="DS11" s="170"/>
      <c r="DT11" s="170"/>
      <c r="DU11" s="170"/>
      <c r="DV11" s="203"/>
      <c r="DW11" s="148"/>
      <c r="DX11" s="170"/>
      <c r="DY11" s="170"/>
      <c r="DZ11" s="170"/>
      <c r="EA11" s="170"/>
      <c r="EB11" s="121"/>
      <c r="EC11" s="148"/>
      <c r="ED11" s="170"/>
      <c r="EE11" s="170"/>
      <c r="EF11" s="170"/>
      <c r="EG11" s="170"/>
      <c r="EH11" s="121"/>
      <c r="EI11" s="148"/>
      <c r="EJ11" s="170"/>
      <c r="EK11" s="170"/>
      <c r="EL11" s="170"/>
      <c r="EM11" s="170"/>
      <c r="EN11" s="121"/>
      <c r="EO11" s="128"/>
      <c r="EP11" s="171"/>
      <c r="EQ11" s="171"/>
      <c r="ER11" s="171"/>
      <c r="ES11" s="171"/>
      <c r="ET11" s="123"/>
      <c r="EU11" s="204"/>
      <c r="EV11" s="204"/>
      <c r="EW11" s="204"/>
      <c r="EX11" s="204"/>
      <c r="EY11" s="204"/>
      <c r="EZ11" s="204"/>
      <c r="FA11" s="171">
        <f t="shared" si="13"/>
        <v>204</v>
      </c>
      <c r="FB11" s="100">
        <f t="shared" si="5"/>
        <v>528</v>
      </c>
      <c r="FC11" s="227">
        <f t="shared" si="6"/>
        <v>161</v>
      </c>
      <c r="FD11" s="100">
        <f t="shared" si="7"/>
        <v>161</v>
      </c>
      <c r="FE11" s="137">
        <f t="shared" si="0"/>
        <v>0</v>
      </c>
      <c r="FF11" s="138">
        <f t="shared" si="1"/>
        <v>732</v>
      </c>
      <c r="FH11" s="442"/>
      <c r="FI11" s="443"/>
      <c r="FJ11" s="443"/>
      <c r="FK11" s="258"/>
      <c r="FL11" s="258"/>
      <c r="FM11" s="258"/>
      <c r="FN11" s="237"/>
      <c r="FO11" s="258"/>
      <c r="FP11" s="258"/>
      <c r="FQ11" s="258"/>
      <c r="FR11" s="258"/>
      <c r="FS11" s="444"/>
      <c r="FT11" s="445"/>
      <c r="FU11" s="445"/>
      <c r="FV11" s="445"/>
      <c r="FW11" s="445"/>
      <c r="FX11" s="459"/>
      <c r="FY11" s="445"/>
      <c r="FZ11" s="445"/>
      <c r="GA11" s="445"/>
      <c r="GB11" s="445"/>
      <c r="GC11" s="459"/>
      <c r="GD11" s="445"/>
      <c r="GE11" s="445"/>
      <c r="GF11" s="445"/>
      <c r="GG11" s="445"/>
      <c r="GH11" s="459"/>
      <c r="GI11" s="445"/>
      <c r="GJ11" s="445"/>
      <c r="GK11" s="445"/>
      <c r="GL11" s="445"/>
      <c r="GM11" s="444"/>
      <c r="GN11" s="445"/>
      <c r="GO11" s="445"/>
      <c r="GP11" s="445"/>
      <c r="GQ11" s="445"/>
    </row>
    <row r="12" spans="1:199" ht="12" customHeight="1" x14ac:dyDescent="0.2">
      <c r="A12" s="66" t="s">
        <v>22</v>
      </c>
      <c r="B12" s="58">
        <v>32</v>
      </c>
      <c r="C12" s="33">
        <v>154</v>
      </c>
      <c r="D12" s="36">
        <f t="shared" si="8"/>
        <v>68</v>
      </c>
      <c r="E12" s="33">
        <v>0</v>
      </c>
      <c r="F12" s="50">
        <f t="shared" si="2"/>
        <v>186</v>
      </c>
      <c r="G12" s="58">
        <v>51</v>
      </c>
      <c r="H12" s="33">
        <v>152</v>
      </c>
      <c r="I12" s="33">
        <f t="shared" si="9"/>
        <v>61</v>
      </c>
      <c r="J12" s="33">
        <v>0</v>
      </c>
      <c r="K12" s="54">
        <f t="shared" si="3"/>
        <v>203</v>
      </c>
      <c r="L12" s="184">
        <v>28</v>
      </c>
      <c r="M12" s="33">
        <v>125</v>
      </c>
      <c r="N12" s="33">
        <f t="shared" si="10"/>
        <v>44</v>
      </c>
      <c r="O12" s="33">
        <v>0</v>
      </c>
      <c r="P12" s="197">
        <f t="shared" si="4"/>
        <v>153</v>
      </c>
      <c r="Q12" s="67">
        <v>0</v>
      </c>
      <c r="R12" s="33">
        <v>95</v>
      </c>
      <c r="S12" s="33">
        <f t="shared" si="11"/>
        <v>33</v>
      </c>
      <c r="T12" s="33">
        <v>0</v>
      </c>
      <c r="U12" s="59">
        <f t="shared" si="12"/>
        <v>95</v>
      </c>
      <c r="V12" s="122"/>
      <c r="W12" s="101"/>
      <c r="X12" s="101"/>
      <c r="Y12" s="101"/>
      <c r="Z12" s="123"/>
      <c r="AA12" s="204"/>
      <c r="AB12" s="101"/>
      <c r="AC12" s="101"/>
      <c r="AD12" s="101"/>
      <c r="AE12" s="204"/>
      <c r="AF12" s="122"/>
      <c r="AG12" s="101"/>
      <c r="AH12" s="101"/>
      <c r="AI12" s="101"/>
      <c r="AJ12" s="123"/>
      <c r="AK12" s="204"/>
      <c r="AL12" s="101"/>
      <c r="AM12" s="101"/>
      <c r="AN12" s="101"/>
      <c r="AO12" s="204"/>
      <c r="AP12" s="122"/>
      <c r="AQ12" s="101"/>
      <c r="AR12" s="101"/>
      <c r="AS12" s="101"/>
      <c r="AT12" s="123"/>
      <c r="AU12" s="171"/>
      <c r="AV12" s="101"/>
      <c r="AW12" s="101"/>
      <c r="AX12" s="101"/>
      <c r="AY12" s="164"/>
      <c r="AZ12" s="128"/>
      <c r="BA12" s="101"/>
      <c r="BB12" s="101"/>
      <c r="BC12" s="101"/>
      <c r="BD12" s="109"/>
      <c r="BE12" s="171"/>
      <c r="BF12" s="101"/>
      <c r="BG12" s="101"/>
      <c r="BH12" s="101"/>
      <c r="BI12" s="164"/>
      <c r="BJ12" s="128"/>
      <c r="BK12" s="101"/>
      <c r="BL12" s="101"/>
      <c r="BM12" s="101"/>
      <c r="BN12" s="109"/>
      <c r="BO12" s="171"/>
      <c r="BP12" s="101"/>
      <c r="BQ12" s="101"/>
      <c r="BR12" s="101"/>
      <c r="BS12" s="101"/>
      <c r="BT12" s="164"/>
      <c r="BU12" s="128"/>
      <c r="BV12" s="171"/>
      <c r="BW12" s="171"/>
      <c r="BX12" s="171"/>
      <c r="BY12" s="171"/>
      <c r="BZ12" s="123"/>
      <c r="CA12" s="171"/>
      <c r="CB12" s="171"/>
      <c r="CC12" s="171"/>
      <c r="CD12" s="171"/>
      <c r="CE12" s="171"/>
      <c r="CF12" s="204"/>
      <c r="CG12" s="128"/>
      <c r="CH12" s="171"/>
      <c r="CI12" s="171"/>
      <c r="CJ12" s="171"/>
      <c r="CK12" s="171"/>
      <c r="CL12" s="123"/>
      <c r="CM12" s="171"/>
      <c r="CN12" s="171"/>
      <c r="CO12" s="171"/>
      <c r="CP12" s="171"/>
      <c r="CQ12" s="171"/>
      <c r="CR12" s="204"/>
      <c r="CS12" s="128"/>
      <c r="CT12" s="171"/>
      <c r="CU12" s="171"/>
      <c r="CV12" s="171"/>
      <c r="CW12" s="171"/>
      <c r="CX12" s="123"/>
      <c r="CY12" s="128"/>
      <c r="CZ12" s="171"/>
      <c r="DA12" s="171"/>
      <c r="DB12" s="171"/>
      <c r="DC12" s="171"/>
      <c r="DD12" s="123"/>
      <c r="DE12" s="171"/>
      <c r="DF12" s="171"/>
      <c r="DG12" s="171"/>
      <c r="DH12" s="171"/>
      <c r="DI12" s="171"/>
      <c r="DJ12" s="204"/>
      <c r="DK12" s="128"/>
      <c r="DL12" s="171"/>
      <c r="DM12" s="171"/>
      <c r="DN12" s="171"/>
      <c r="DO12" s="171"/>
      <c r="DP12" s="123"/>
      <c r="DQ12" s="171"/>
      <c r="DR12" s="171"/>
      <c r="DS12" s="171"/>
      <c r="DT12" s="171"/>
      <c r="DU12" s="171"/>
      <c r="DV12" s="204"/>
      <c r="DW12" s="128"/>
      <c r="DX12" s="171"/>
      <c r="DY12" s="171"/>
      <c r="DZ12" s="171"/>
      <c r="EA12" s="171"/>
      <c r="EB12" s="123"/>
      <c r="EC12" s="128"/>
      <c r="ED12" s="171"/>
      <c r="EE12" s="171"/>
      <c r="EF12" s="171"/>
      <c r="EG12" s="171"/>
      <c r="EH12" s="123"/>
      <c r="EI12" s="128"/>
      <c r="EJ12" s="171"/>
      <c r="EK12" s="171"/>
      <c r="EL12" s="171"/>
      <c r="EM12" s="171"/>
      <c r="EN12" s="123"/>
      <c r="EO12" s="148"/>
      <c r="EP12" s="170"/>
      <c r="EQ12" s="170"/>
      <c r="ER12" s="170"/>
      <c r="ES12" s="170"/>
      <c r="ET12" s="121"/>
      <c r="EU12" s="203"/>
      <c r="EV12" s="203"/>
      <c r="EW12" s="203"/>
      <c r="EX12" s="203"/>
      <c r="EY12" s="203"/>
      <c r="EZ12" s="203"/>
      <c r="FA12" s="171">
        <f t="shared" si="13"/>
        <v>111</v>
      </c>
      <c r="FB12" s="100">
        <f t="shared" si="5"/>
        <v>526</v>
      </c>
      <c r="FC12" s="227">
        <f t="shared" si="6"/>
        <v>206</v>
      </c>
      <c r="FD12" s="101">
        <f t="shared" si="7"/>
        <v>206</v>
      </c>
      <c r="FE12" s="139">
        <f t="shared" si="0"/>
        <v>0</v>
      </c>
      <c r="FF12" s="140">
        <f t="shared" si="1"/>
        <v>637</v>
      </c>
      <c r="FH12" s="442"/>
      <c r="FI12" s="443"/>
      <c r="FJ12" s="443"/>
      <c r="FK12" s="258"/>
      <c r="FL12" s="258"/>
      <c r="FM12" s="258"/>
      <c r="FN12" s="237"/>
      <c r="FO12" s="258"/>
      <c r="FP12" s="258"/>
      <c r="FQ12" s="258"/>
      <c r="FR12" s="258"/>
      <c r="FS12" s="444"/>
      <c r="FT12" s="445"/>
      <c r="FU12" s="445"/>
      <c r="FV12" s="445"/>
      <c r="FW12" s="445"/>
      <c r="FX12" s="459"/>
      <c r="FY12" s="445"/>
      <c r="FZ12" s="445"/>
      <c r="GA12" s="445"/>
      <c r="GB12" s="445"/>
      <c r="GC12" s="459"/>
      <c r="GD12" s="445"/>
      <c r="GE12" s="445"/>
      <c r="GF12" s="445"/>
      <c r="GG12" s="445"/>
      <c r="GH12" s="459"/>
      <c r="GI12" s="445"/>
      <c r="GJ12" s="445"/>
      <c r="GK12" s="445"/>
      <c r="GL12" s="445"/>
      <c r="GM12" s="444"/>
      <c r="GN12" s="445"/>
      <c r="GO12" s="445"/>
      <c r="GP12" s="445"/>
      <c r="GQ12" s="445"/>
    </row>
    <row r="13" spans="1:199" ht="12" customHeight="1" x14ac:dyDescent="0.2">
      <c r="A13" s="42" t="s">
        <v>23</v>
      </c>
      <c r="B13" s="8">
        <v>31</v>
      </c>
      <c r="C13" s="7">
        <v>149</v>
      </c>
      <c r="D13" s="4">
        <f t="shared" si="8"/>
        <v>37</v>
      </c>
      <c r="E13" s="7">
        <v>0</v>
      </c>
      <c r="F13" s="44">
        <f t="shared" si="2"/>
        <v>180</v>
      </c>
      <c r="G13" s="8">
        <v>42</v>
      </c>
      <c r="H13" s="7">
        <v>184</v>
      </c>
      <c r="I13" s="6">
        <f t="shared" si="9"/>
        <v>19</v>
      </c>
      <c r="J13" s="7">
        <v>0</v>
      </c>
      <c r="K13" s="53">
        <f t="shared" si="3"/>
        <v>226</v>
      </c>
      <c r="L13" s="183">
        <v>24</v>
      </c>
      <c r="M13" s="7">
        <v>134</v>
      </c>
      <c r="N13" s="6">
        <f t="shared" si="10"/>
        <v>19</v>
      </c>
      <c r="O13" s="7">
        <v>0</v>
      </c>
      <c r="P13" s="187">
        <f t="shared" si="4"/>
        <v>158</v>
      </c>
      <c r="Q13" s="8">
        <v>0</v>
      </c>
      <c r="R13" s="7">
        <v>86</v>
      </c>
      <c r="S13" s="6">
        <f t="shared" si="11"/>
        <v>9</v>
      </c>
      <c r="T13" s="7">
        <v>0</v>
      </c>
      <c r="U13" s="57">
        <f t="shared" si="12"/>
        <v>86</v>
      </c>
      <c r="V13" s="124"/>
      <c r="W13" s="102"/>
      <c r="X13" s="100"/>
      <c r="Y13" s="102"/>
      <c r="Z13" s="113"/>
      <c r="AA13" s="159"/>
      <c r="AB13" s="102"/>
      <c r="AC13" s="100"/>
      <c r="AD13" s="102"/>
      <c r="AE13" s="159"/>
      <c r="AF13" s="124"/>
      <c r="AG13" s="102"/>
      <c r="AH13" s="100"/>
      <c r="AI13" s="102"/>
      <c r="AJ13" s="113"/>
      <c r="AK13" s="159"/>
      <c r="AL13" s="102"/>
      <c r="AM13" s="100"/>
      <c r="AN13" s="102"/>
      <c r="AO13" s="159"/>
      <c r="AP13" s="124"/>
      <c r="AQ13" s="102"/>
      <c r="AR13" s="100"/>
      <c r="AS13" s="102"/>
      <c r="AT13" s="113"/>
      <c r="AU13" s="175"/>
      <c r="AV13" s="103"/>
      <c r="AW13" s="100"/>
      <c r="AX13" s="102"/>
      <c r="AY13" s="165"/>
      <c r="AZ13" s="126"/>
      <c r="BA13" s="103"/>
      <c r="BB13" s="100"/>
      <c r="BC13" s="102"/>
      <c r="BD13" s="110"/>
      <c r="BE13" s="175"/>
      <c r="BF13" s="102"/>
      <c r="BG13" s="100"/>
      <c r="BH13" s="102"/>
      <c r="BI13" s="165"/>
      <c r="BJ13" s="126"/>
      <c r="BK13" s="102"/>
      <c r="BL13" s="100"/>
      <c r="BM13" s="102"/>
      <c r="BN13" s="110"/>
      <c r="BO13" s="175"/>
      <c r="BP13" s="102"/>
      <c r="BQ13" s="102"/>
      <c r="BR13" s="102"/>
      <c r="BS13" s="102"/>
      <c r="BT13" s="165"/>
      <c r="BU13" s="126"/>
      <c r="BV13" s="175"/>
      <c r="BW13" s="175"/>
      <c r="BX13" s="175"/>
      <c r="BY13" s="175"/>
      <c r="BZ13" s="113"/>
      <c r="CA13" s="175"/>
      <c r="CB13" s="175"/>
      <c r="CC13" s="175"/>
      <c r="CD13" s="175"/>
      <c r="CE13" s="175"/>
      <c r="CF13" s="159"/>
      <c r="CG13" s="126"/>
      <c r="CH13" s="175"/>
      <c r="CI13" s="175"/>
      <c r="CJ13" s="175"/>
      <c r="CK13" s="175"/>
      <c r="CL13" s="113"/>
      <c r="CM13" s="175"/>
      <c r="CN13" s="175"/>
      <c r="CO13" s="175"/>
      <c r="CP13" s="175"/>
      <c r="CQ13" s="175"/>
      <c r="CR13" s="159"/>
      <c r="CS13" s="126"/>
      <c r="CT13" s="175"/>
      <c r="CU13" s="175"/>
      <c r="CV13" s="175"/>
      <c r="CW13" s="175"/>
      <c r="CX13" s="113"/>
      <c r="CY13" s="126"/>
      <c r="CZ13" s="175"/>
      <c r="DA13" s="175"/>
      <c r="DB13" s="175"/>
      <c r="DC13" s="175"/>
      <c r="DD13" s="113"/>
      <c r="DE13" s="175"/>
      <c r="DF13" s="175"/>
      <c r="DG13" s="175"/>
      <c r="DH13" s="175"/>
      <c r="DI13" s="175"/>
      <c r="DJ13" s="159"/>
      <c r="DK13" s="126"/>
      <c r="DL13" s="175"/>
      <c r="DM13" s="175"/>
      <c r="DN13" s="175"/>
      <c r="DO13" s="175"/>
      <c r="DP13" s="113"/>
      <c r="DQ13" s="175"/>
      <c r="DR13" s="175"/>
      <c r="DS13" s="175"/>
      <c r="DT13" s="175"/>
      <c r="DU13" s="175"/>
      <c r="DV13" s="159"/>
      <c r="DW13" s="126"/>
      <c r="DX13" s="175"/>
      <c r="DY13" s="175"/>
      <c r="DZ13" s="175"/>
      <c r="EA13" s="175"/>
      <c r="EB13" s="113"/>
      <c r="EC13" s="126"/>
      <c r="ED13" s="175"/>
      <c r="EE13" s="175"/>
      <c r="EF13" s="175"/>
      <c r="EG13" s="175"/>
      <c r="EH13" s="113"/>
      <c r="EI13" s="126"/>
      <c r="EJ13" s="175"/>
      <c r="EK13" s="175"/>
      <c r="EL13" s="175"/>
      <c r="EM13" s="175"/>
      <c r="EN13" s="113"/>
      <c r="EO13" s="128"/>
      <c r="EP13" s="171"/>
      <c r="EQ13" s="171"/>
      <c r="ER13" s="171"/>
      <c r="ES13" s="171"/>
      <c r="ET13" s="123"/>
      <c r="EU13" s="204"/>
      <c r="EV13" s="204"/>
      <c r="EW13" s="204"/>
      <c r="EX13" s="204"/>
      <c r="EY13" s="204"/>
      <c r="EZ13" s="204"/>
      <c r="FA13" s="171">
        <f t="shared" si="13"/>
        <v>97</v>
      </c>
      <c r="FB13" s="100">
        <f t="shared" si="5"/>
        <v>553</v>
      </c>
      <c r="FC13" s="227">
        <f t="shared" si="6"/>
        <v>84</v>
      </c>
      <c r="FD13" s="100">
        <f t="shared" si="7"/>
        <v>84</v>
      </c>
      <c r="FE13" s="137">
        <f t="shared" si="0"/>
        <v>0</v>
      </c>
      <c r="FF13" s="138">
        <f t="shared" si="1"/>
        <v>650</v>
      </c>
      <c r="FH13" s="442"/>
      <c r="FI13" s="443"/>
      <c r="FJ13" s="443"/>
      <c r="FK13" s="258"/>
      <c r="FL13" s="258"/>
      <c r="FM13" s="258"/>
      <c r="FN13" s="237"/>
      <c r="FO13" s="258"/>
      <c r="FP13" s="258"/>
      <c r="FQ13" s="258"/>
      <c r="FR13" s="258"/>
      <c r="FS13" s="444"/>
      <c r="FT13" s="445"/>
      <c r="FU13" s="445"/>
      <c r="FV13" s="445"/>
      <c r="FW13" s="445"/>
      <c r="FX13" s="459"/>
      <c r="FY13" s="445"/>
      <c r="FZ13" s="445"/>
      <c r="GA13" s="445"/>
      <c r="GB13" s="445"/>
      <c r="GC13" s="459"/>
      <c r="GD13" s="445"/>
      <c r="GE13" s="445"/>
      <c r="GF13" s="445"/>
      <c r="GG13" s="445"/>
      <c r="GH13" s="459"/>
      <c r="GI13" s="445"/>
      <c r="GJ13" s="445"/>
      <c r="GK13" s="445"/>
      <c r="GL13" s="445"/>
      <c r="GM13" s="444"/>
      <c r="GN13" s="445"/>
      <c r="GO13" s="445"/>
      <c r="GP13" s="445"/>
      <c r="GQ13" s="445"/>
    </row>
    <row r="14" spans="1:199" ht="12" customHeight="1" x14ac:dyDescent="0.2">
      <c r="A14" s="43" t="s">
        <v>24</v>
      </c>
      <c r="B14" s="58">
        <v>56</v>
      </c>
      <c r="C14" s="34">
        <v>142</v>
      </c>
      <c r="D14" s="36">
        <f t="shared" si="8"/>
        <v>38</v>
      </c>
      <c r="E14" s="34">
        <v>0</v>
      </c>
      <c r="F14" s="50">
        <f t="shared" si="2"/>
        <v>198</v>
      </c>
      <c r="G14" s="58">
        <v>94</v>
      </c>
      <c r="H14" s="34">
        <v>198</v>
      </c>
      <c r="I14" s="33">
        <f t="shared" si="9"/>
        <v>28</v>
      </c>
      <c r="J14" s="34">
        <v>0</v>
      </c>
      <c r="K14" s="54">
        <f t="shared" si="3"/>
        <v>292</v>
      </c>
      <c r="L14" s="184">
        <v>34</v>
      </c>
      <c r="M14" s="34">
        <v>139</v>
      </c>
      <c r="N14" s="33">
        <f t="shared" si="10"/>
        <v>19</v>
      </c>
      <c r="O14" s="34">
        <v>0</v>
      </c>
      <c r="P14" s="197">
        <f t="shared" si="4"/>
        <v>173</v>
      </c>
      <c r="Q14" s="58">
        <v>0</v>
      </c>
      <c r="R14" s="34">
        <v>68</v>
      </c>
      <c r="S14" s="33">
        <f t="shared" si="11"/>
        <v>18</v>
      </c>
      <c r="T14" s="34">
        <v>0</v>
      </c>
      <c r="U14" s="59">
        <f t="shared" si="12"/>
        <v>68</v>
      </c>
      <c r="V14" s="125"/>
      <c r="W14" s="103"/>
      <c r="X14" s="101"/>
      <c r="Y14" s="103"/>
      <c r="Z14" s="112"/>
      <c r="AA14" s="160"/>
      <c r="AB14" s="103"/>
      <c r="AC14" s="101"/>
      <c r="AD14" s="103"/>
      <c r="AE14" s="160"/>
      <c r="AF14" s="125"/>
      <c r="AG14" s="103"/>
      <c r="AH14" s="101"/>
      <c r="AI14" s="103"/>
      <c r="AJ14" s="112"/>
      <c r="AK14" s="160"/>
      <c r="AL14" s="103"/>
      <c r="AM14" s="101"/>
      <c r="AN14" s="103"/>
      <c r="AO14" s="160"/>
      <c r="AP14" s="125"/>
      <c r="AQ14" s="103"/>
      <c r="AR14" s="101"/>
      <c r="AS14" s="103"/>
      <c r="AT14" s="112"/>
      <c r="AU14" s="176"/>
      <c r="AV14" s="103"/>
      <c r="AW14" s="101"/>
      <c r="AX14" s="103"/>
      <c r="AY14" s="166"/>
      <c r="AZ14" s="127"/>
      <c r="BA14" s="103"/>
      <c r="BB14" s="101"/>
      <c r="BC14" s="103"/>
      <c r="BD14" s="111"/>
      <c r="BE14" s="176"/>
      <c r="BF14" s="103"/>
      <c r="BG14" s="101"/>
      <c r="BH14" s="103"/>
      <c r="BI14" s="166"/>
      <c r="BJ14" s="127"/>
      <c r="BK14" s="103"/>
      <c r="BL14" s="101"/>
      <c r="BM14" s="103"/>
      <c r="BN14" s="111"/>
      <c r="BO14" s="176"/>
      <c r="BP14" s="103"/>
      <c r="BQ14" s="103"/>
      <c r="BR14" s="103"/>
      <c r="BS14" s="103"/>
      <c r="BT14" s="166"/>
      <c r="BU14" s="127"/>
      <c r="BV14" s="176"/>
      <c r="BW14" s="176"/>
      <c r="BX14" s="176"/>
      <c r="BY14" s="176"/>
      <c r="BZ14" s="112"/>
      <c r="CA14" s="176"/>
      <c r="CB14" s="176"/>
      <c r="CC14" s="176"/>
      <c r="CD14" s="176"/>
      <c r="CE14" s="176"/>
      <c r="CF14" s="160"/>
      <c r="CG14" s="127"/>
      <c r="CH14" s="176"/>
      <c r="CI14" s="176"/>
      <c r="CJ14" s="176"/>
      <c r="CK14" s="176"/>
      <c r="CL14" s="112"/>
      <c r="CM14" s="176"/>
      <c r="CN14" s="176"/>
      <c r="CO14" s="176"/>
      <c r="CP14" s="176"/>
      <c r="CQ14" s="176"/>
      <c r="CR14" s="160"/>
      <c r="CS14" s="127"/>
      <c r="CT14" s="176"/>
      <c r="CU14" s="176"/>
      <c r="CV14" s="176"/>
      <c r="CW14" s="176"/>
      <c r="CX14" s="112"/>
      <c r="CY14" s="127"/>
      <c r="CZ14" s="176"/>
      <c r="DA14" s="176"/>
      <c r="DB14" s="176"/>
      <c r="DC14" s="176"/>
      <c r="DD14" s="112"/>
      <c r="DE14" s="176"/>
      <c r="DF14" s="176"/>
      <c r="DG14" s="176"/>
      <c r="DH14" s="176"/>
      <c r="DI14" s="176"/>
      <c r="DJ14" s="160"/>
      <c r="DK14" s="127"/>
      <c r="DL14" s="176"/>
      <c r="DM14" s="176"/>
      <c r="DN14" s="176"/>
      <c r="DO14" s="176"/>
      <c r="DP14" s="112"/>
      <c r="DQ14" s="176"/>
      <c r="DR14" s="176"/>
      <c r="DS14" s="176"/>
      <c r="DT14" s="176"/>
      <c r="DU14" s="176"/>
      <c r="DV14" s="160"/>
      <c r="DW14" s="127"/>
      <c r="DX14" s="176"/>
      <c r="DY14" s="176"/>
      <c r="DZ14" s="176"/>
      <c r="EA14" s="176"/>
      <c r="EB14" s="112"/>
      <c r="EC14" s="127"/>
      <c r="ED14" s="176"/>
      <c r="EE14" s="176"/>
      <c r="EF14" s="176"/>
      <c r="EG14" s="176"/>
      <c r="EH14" s="112"/>
      <c r="EI14" s="127"/>
      <c r="EJ14" s="176"/>
      <c r="EK14" s="176"/>
      <c r="EL14" s="176"/>
      <c r="EM14" s="176"/>
      <c r="EN14" s="112"/>
      <c r="EO14" s="126"/>
      <c r="EP14" s="175"/>
      <c r="EQ14" s="175"/>
      <c r="ER14" s="175"/>
      <c r="ES14" s="175"/>
      <c r="ET14" s="113"/>
      <c r="EU14" s="159"/>
      <c r="EV14" s="159"/>
      <c r="EW14" s="159"/>
      <c r="EX14" s="159"/>
      <c r="EY14" s="159"/>
      <c r="EZ14" s="159"/>
      <c r="FA14" s="171">
        <f t="shared" si="13"/>
        <v>184</v>
      </c>
      <c r="FB14" s="100">
        <f t="shared" si="5"/>
        <v>547</v>
      </c>
      <c r="FC14" s="227">
        <f t="shared" si="6"/>
        <v>103</v>
      </c>
      <c r="FD14" s="101">
        <f t="shared" si="7"/>
        <v>103</v>
      </c>
      <c r="FE14" s="141">
        <f t="shared" ref="FE14:FE45" si="14">SUM(E14+J14+O14+T14+Y14+AD14+AI14+AN14+AS14+AX14+BC14+BH14+BM14)</f>
        <v>0</v>
      </c>
      <c r="FF14" s="140">
        <f t="shared" si="1"/>
        <v>731</v>
      </c>
      <c r="FH14" s="442"/>
      <c r="FI14" s="443"/>
      <c r="FJ14" s="443"/>
      <c r="FK14" s="258"/>
      <c r="FL14" s="258"/>
      <c r="FM14" s="258"/>
      <c r="FN14" s="237"/>
      <c r="FO14" s="258"/>
      <c r="FP14" s="258"/>
      <c r="FQ14" s="258"/>
      <c r="FR14" s="258"/>
      <c r="FS14" s="444"/>
      <c r="FT14" s="445"/>
      <c r="FU14" s="445"/>
      <c r="FV14" s="445"/>
      <c r="FW14" s="445"/>
      <c r="FX14" s="459"/>
      <c r="FY14" s="445"/>
      <c r="FZ14" s="445"/>
      <c r="GA14" s="445"/>
      <c r="GB14" s="445"/>
      <c r="GC14" s="459"/>
      <c r="GD14" s="445"/>
      <c r="GE14" s="445"/>
      <c r="GF14" s="445"/>
      <c r="GG14" s="445"/>
      <c r="GH14" s="459"/>
      <c r="GI14" s="445"/>
      <c r="GJ14" s="445"/>
      <c r="GK14" s="445"/>
      <c r="GL14" s="445"/>
      <c r="GM14" s="444"/>
      <c r="GN14" s="445"/>
      <c r="GO14" s="445"/>
      <c r="GP14" s="445"/>
      <c r="GQ14" s="445"/>
    </row>
    <row r="15" spans="1:199" ht="12" customHeight="1" x14ac:dyDescent="0.2">
      <c r="A15" s="42" t="s">
        <v>25</v>
      </c>
      <c r="B15" s="8">
        <v>14</v>
      </c>
      <c r="C15" s="7">
        <v>179</v>
      </c>
      <c r="D15" s="4">
        <f t="shared" si="8"/>
        <v>19</v>
      </c>
      <c r="E15" s="89">
        <v>4</v>
      </c>
      <c r="F15" s="44">
        <f t="shared" si="2"/>
        <v>193</v>
      </c>
      <c r="G15" s="8">
        <v>16</v>
      </c>
      <c r="H15" s="7">
        <v>266</v>
      </c>
      <c r="I15" s="6">
        <f t="shared" si="9"/>
        <v>26</v>
      </c>
      <c r="J15" s="89">
        <v>3</v>
      </c>
      <c r="K15" s="53">
        <f t="shared" si="3"/>
        <v>282</v>
      </c>
      <c r="L15" s="183">
        <v>16</v>
      </c>
      <c r="M15" s="7">
        <v>151</v>
      </c>
      <c r="N15" s="6">
        <f t="shared" si="10"/>
        <v>22</v>
      </c>
      <c r="O15" s="89">
        <v>0</v>
      </c>
      <c r="P15" s="187">
        <f t="shared" si="4"/>
        <v>167</v>
      </c>
      <c r="Q15" s="8">
        <v>0</v>
      </c>
      <c r="R15" s="7">
        <v>63</v>
      </c>
      <c r="S15" s="6">
        <f t="shared" si="11"/>
        <v>5</v>
      </c>
      <c r="T15" s="89">
        <v>0</v>
      </c>
      <c r="U15" s="57">
        <f t="shared" si="12"/>
        <v>63</v>
      </c>
      <c r="V15" s="124"/>
      <c r="W15" s="102"/>
      <c r="X15" s="100"/>
      <c r="Y15" s="102"/>
      <c r="Z15" s="113"/>
      <c r="AA15" s="159"/>
      <c r="AB15" s="102"/>
      <c r="AC15" s="100"/>
      <c r="AD15" s="102"/>
      <c r="AE15" s="159"/>
      <c r="AF15" s="124"/>
      <c r="AG15" s="102"/>
      <c r="AH15" s="100"/>
      <c r="AI15" s="102"/>
      <c r="AJ15" s="113"/>
      <c r="AK15" s="159"/>
      <c r="AL15" s="102"/>
      <c r="AM15" s="100"/>
      <c r="AN15" s="102"/>
      <c r="AO15" s="159"/>
      <c r="AP15" s="124"/>
      <c r="AQ15" s="102"/>
      <c r="AR15" s="100"/>
      <c r="AS15" s="102"/>
      <c r="AT15" s="113"/>
      <c r="AU15" s="175"/>
      <c r="AV15" s="103"/>
      <c r="AW15" s="100"/>
      <c r="AX15" s="102"/>
      <c r="AY15" s="165"/>
      <c r="AZ15" s="126"/>
      <c r="BA15" s="103"/>
      <c r="BB15" s="100"/>
      <c r="BC15" s="102"/>
      <c r="BD15" s="110"/>
      <c r="BE15" s="175"/>
      <c r="BF15" s="102"/>
      <c r="BG15" s="100"/>
      <c r="BH15" s="102"/>
      <c r="BI15" s="165"/>
      <c r="BJ15" s="126"/>
      <c r="BK15" s="102"/>
      <c r="BL15" s="100"/>
      <c r="BM15" s="102"/>
      <c r="BN15" s="110"/>
      <c r="BO15" s="175"/>
      <c r="BP15" s="102"/>
      <c r="BQ15" s="102"/>
      <c r="BR15" s="102"/>
      <c r="BS15" s="102"/>
      <c r="BT15" s="165"/>
      <c r="BU15" s="126"/>
      <c r="BV15" s="175"/>
      <c r="BW15" s="175"/>
      <c r="BX15" s="175"/>
      <c r="BY15" s="175"/>
      <c r="BZ15" s="113"/>
      <c r="CA15" s="175"/>
      <c r="CB15" s="175"/>
      <c r="CC15" s="175"/>
      <c r="CD15" s="175"/>
      <c r="CE15" s="175"/>
      <c r="CF15" s="159"/>
      <c r="CG15" s="126"/>
      <c r="CH15" s="175"/>
      <c r="CI15" s="175"/>
      <c r="CJ15" s="175"/>
      <c r="CK15" s="175"/>
      <c r="CL15" s="113"/>
      <c r="CM15" s="175"/>
      <c r="CN15" s="175"/>
      <c r="CO15" s="175"/>
      <c r="CP15" s="175"/>
      <c r="CQ15" s="175"/>
      <c r="CR15" s="159"/>
      <c r="CS15" s="126"/>
      <c r="CT15" s="175"/>
      <c r="CU15" s="175"/>
      <c r="CV15" s="175"/>
      <c r="CW15" s="175"/>
      <c r="CX15" s="113"/>
      <c r="CY15" s="126"/>
      <c r="CZ15" s="175"/>
      <c r="DA15" s="175"/>
      <c r="DB15" s="175"/>
      <c r="DC15" s="175"/>
      <c r="DD15" s="113"/>
      <c r="DE15" s="175"/>
      <c r="DF15" s="175"/>
      <c r="DG15" s="175"/>
      <c r="DH15" s="175"/>
      <c r="DI15" s="175"/>
      <c r="DJ15" s="159"/>
      <c r="DK15" s="126"/>
      <c r="DL15" s="175"/>
      <c r="DM15" s="175"/>
      <c r="DN15" s="175"/>
      <c r="DO15" s="175"/>
      <c r="DP15" s="113"/>
      <c r="DQ15" s="175"/>
      <c r="DR15" s="175"/>
      <c r="DS15" s="175"/>
      <c r="DT15" s="175"/>
      <c r="DU15" s="175"/>
      <c r="DV15" s="159"/>
      <c r="DW15" s="126"/>
      <c r="DX15" s="175"/>
      <c r="DY15" s="175"/>
      <c r="DZ15" s="175"/>
      <c r="EA15" s="175"/>
      <c r="EB15" s="113"/>
      <c r="EC15" s="126"/>
      <c r="ED15" s="175"/>
      <c r="EE15" s="175"/>
      <c r="EF15" s="175"/>
      <c r="EG15" s="175"/>
      <c r="EH15" s="113"/>
      <c r="EI15" s="126"/>
      <c r="EJ15" s="175"/>
      <c r="EK15" s="175"/>
      <c r="EL15" s="175"/>
      <c r="EM15" s="175"/>
      <c r="EN15" s="113"/>
      <c r="EO15" s="127"/>
      <c r="EP15" s="176"/>
      <c r="EQ15" s="176"/>
      <c r="ER15" s="176"/>
      <c r="ES15" s="176"/>
      <c r="ET15" s="112"/>
      <c r="EU15" s="160"/>
      <c r="EV15" s="160"/>
      <c r="EW15" s="160"/>
      <c r="EX15" s="160"/>
      <c r="EY15" s="160"/>
      <c r="EZ15" s="160"/>
      <c r="FA15" s="171">
        <f t="shared" si="13"/>
        <v>46</v>
      </c>
      <c r="FB15" s="100">
        <f t="shared" si="5"/>
        <v>659</v>
      </c>
      <c r="FC15" s="227">
        <f t="shared" si="6"/>
        <v>72</v>
      </c>
      <c r="FD15" s="100">
        <f t="shared" si="7"/>
        <v>72</v>
      </c>
      <c r="FE15" s="141">
        <f t="shared" si="14"/>
        <v>7</v>
      </c>
      <c r="FF15" s="138">
        <f t="shared" si="1"/>
        <v>705</v>
      </c>
      <c r="FI15" s="232"/>
      <c r="FJ15" s="232"/>
      <c r="FK15" s="258"/>
      <c r="FL15" s="258"/>
      <c r="FM15" s="258"/>
      <c r="FN15" s="237"/>
      <c r="FO15" s="258"/>
      <c r="FP15" s="258"/>
      <c r="FQ15" s="258"/>
      <c r="FR15" s="258"/>
      <c r="FS15" s="444"/>
      <c r="FT15" s="445"/>
      <c r="FU15" s="445"/>
      <c r="FV15" s="445"/>
      <c r="FW15" s="445"/>
      <c r="FX15" s="459"/>
      <c r="FY15" s="445"/>
      <c r="FZ15" s="445"/>
      <c r="GA15" s="445"/>
      <c r="GB15" s="445"/>
      <c r="GC15" s="459"/>
      <c r="GD15" s="445"/>
      <c r="GE15" s="445"/>
      <c r="GF15" s="445"/>
      <c r="GG15" s="445"/>
      <c r="GH15" s="459"/>
      <c r="GI15" s="445"/>
      <c r="GJ15" s="445"/>
      <c r="GK15" s="445"/>
      <c r="GL15" s="445"/>
      <c r="GM15" s="444"/>
      <c r="GN15" s="445"/>
      <c r="GO15" s="445"/>
      <c r="GP15" s="445"/>
      <c r="GQ15" s="445"/>
    </row>
    <row r="16" spans="1:199" ht="12" customHeight="1" x14ac:dyDescent="0.2">
      <c r="A16" s="43" t="s">
        <v>26</v>
      </c>
      <c r="B16" s="58">
        <v>35</v>
      </c>
      <c r="C16" s="34">
        <v>168</v>
      </c>
      <c r="D16" s="36">
        <f t="shared" si="8"/>
        <v>21</v>
      </c>
      <c r="E16" s="34">
        <v>4</v>
      </c>
      <c r="F16" s="50">
        <f t="shared" si="2"/>
        <v>203</v>
      </c>
      <c r="G16" s="58">
        <v>96</v>
      </c>
      <c r="H16" s="34">
        <v>248</v>
      </c>
      <c r="I16" s="33">
        <f t="shared" si="9"/>
        <v>31</v>
      </c>
      <c r="J16" s="34">
        <v>5</v>
      </c>
      <c r="K16" s="54">
        <f t="shared" si="3"/>
        <v>344</v>
      </c>
      <c r="L16" s="184">
        <v>25</v>
      </c>
      <c r="M16" s="34">
        <v>164</v>
      </c>
      <c r="N16" s="33">
        <f t="shared" si="10"/>
        <v>3</v>
      </c>
      <c r="O16" s="34">
        <v>12</v>
      </c>
      <c r="P16" s="197">
        <f t="shared" si="4"/>
        <v>189</v>
      </c>
      <c r="Q16" s="58">
        <v>0</v>
      </c>
      <c r="R16" s="34">
        <v>64</v>
      </c>
      <c r="S16" s="33">
        <f t="shared" si="11"/>
        <v>-1</v>
      </c>
      <c r="T16" s="34">
        <v>0</v>
      </c>
      <c r="U16" s="59">
        <f t="shared" si="12"/>
        <v>64</v>
      </c>
      <c r="V16" s="125"/>
      <c r="W16" s="103"/>
      <c r="X16" s="101"/>
      <c r="Y16" s="103"/>
      <c r="Z16" s="112"/>
      <c r="AA16" s="160"/>
      <c r="AB16" s="103"/>
      <c r="AC16" s="101"/>
      <c r="AD16" s="103"/>
      <c r="AE16" s="160"/>
      <c r="AF16" s="125"/>
      <c r="AG16" s="103"/>
      <c r="AH16" s="101"/>
      <c r="AI16" s="103"/>
      <c r="AJ16" s="112"/>
      <c r="AK16" s="160"/>
      <c r="AL16" s="103"/>
      <c r="AM16" s="101"/>
      <c r="AN16" s="103"/>
      <c r="AO16" s="160"/>
      <c r="AP16" s="125"/>
      <c r="AQ16" s="103"/>
      <c r="AR16" s="101"/>
      <c r="AS16" s="103"/>
      <c r="AT16" s="112"/>
      <c r="AU16" s="176"/>
      <c r="AV16" s="103"/>
      <c r="AW16" s="101"/>
      <c r="AX16" s="103"/>
      <c r="AY16" s="166"/>
      <c r="AZ16" s="127"/>
      <c r="BA16" s="103"/>
      <c r="BB16" s="101"/>
      <c r="BC16" s="103"/>
      <c r="BD16" s="111"/>
      <c r="BE16" s="176"/>
      <c r="BF16" s="103"/>
      <c r="BG16" s="101"/>
      <c r="BH16" s="103"/>
      <c r="BI16" s="166"/>
      <c r="BJ16" s="127"/>
      <c r="BK16" s="103"/>
      <c r="BL16" s="101"/>
      <c r="BM16" s="103"/>
      <c r="BN16" s="111"/>
      <c r="BO16" s="176"/>
      <c r="BP16" s="103"/>
      <c r="BQ16" s="103"/>
      <c r="BR16" s="103"/>
      <c r="BS16" s="103"/>
      <c r="BT16" s="166"/>
      <c r="BU16" s="127"/>
      <c r="BV16" s="176"/>
      <c r="BW16" s="176"/>
      <c r="BX16" s="176"/>
      <c r="BY16" s="176"/>
      <c r="BZ16" s="112"/>
      <c r="CA16" s="176"/>
      <c r="CB16" s="176"/>
      <c r="CC16" s="176"/>
      <c r="CD16" s="176"/>
      <c r="CE16" s="176"/>
      <c r="CF16" s="160"/>
      <c r="CG16" s="127"/>
      <c r="CH16" s="176"/>
      <c r="CI16" s="176"/>
      <c r="CJ16" s="176"/>
      <c r="CK16" s="176"/>
      <c r="CL16" s="112"/>
      <c r="CM16" s="176"/>
      <c r="CN16" s="176"/>
      <c r="CO16" s="176"/>
      <c r="CP16" s="176"/>
      <c r="CQ16" s="176"/>
      <c r="CR16" s="160"/>
      <c r="CS16" s="127"/>
      <c r="CT16" s="176"/>
      <c r="CU16" s="176"/>
      <c r="CV16" s="176"/>
      <c r="CW16" s="176"/>
      <c r="CX16" s="112"/>
      <c r="CY16" s="127"/>
      <c r="CZ16" s="176"/>
      <c r="DA16" s="176"/>
      <c r="DB16" s="176"/>
      <c r="DC16" s="176"/>
      <c r="DD16" s="112"/>
      <c r="DE16" s="176"/>
      <c r="DF16" s="176"/>
      <c r="DG16" s="176"/>
      <c r="DH16" s="176"/>
      <c r="DI16" s="176"/>
      <c r="DJ16" s="160"/>
      <c r="DK16" s="127"/>
      <c r="DL16" s="176"/>
      <c r="DM16" s="176"/>
      <c r="DN16" s="176"/>
      <c r="DO16" s="176"/>
      <c r="DP16" s="112"/>
      <c r="DQ16" s="176"/>
      <c r="DR16" s="176"/>
      <c r="DS16" s="176"/>
      <c r="DT16" s="176"/>
      <c r="DU16" s="176"/>
      <c r="DV16" s="160"/>
      <c r="DW16" s="127"/>
      <c r="DX16" s="176"/>
      <c r="DY16" s="176"/>
      <c r="DZ16" s="176"/>
      <c r="EA16" s="176"/>
      <c r="EB16" s="112"/>
      <c r="EC16" s="127"/>
      <c r="ED16" s="176"/>
      <c r="EE16" s="176"/>
      <c r="EF16" s="176"/>
      <c r="EG16" s="176"/>
      <c r="EH16" s="112"/>
      <c r="EI16" s="127"/>
      <c r="EJ16" s="176"/>
      <c r="EK16" s="176"/>
      <c r="EL16" s="176"/>
      <c r="EM16" s="176"/>
      <c r="EN16" s="112"/>
      <c r="EO16" s="126"/>
      <c r="EP16" s="175"/>
      <c r="EQ16" s="175"/>
      <c r="ER16" s="175"/>
      <c r="ES16" s="175"/>
      <c r="ET16" s="113"/>
      <c r="EU16" s="159"/>
      <c r="EV16" s="159"/>
      <c r="EW16" s="159"/>
      <c r="EX16" s="159"/>
      <c r="EY16" s="159"/>
      <c r="EZ16" s="159"/>
      <c r="FA16" s="171">
        <f t="shared" si="13"/>
        <v>156</v>
      </c>
      <c r="FB16" s="100">
        <f t="shared" si="5"/>
        <v>644</v>
      </c>
      <c r="FC16" s="227">
        <f t="shared" si="6"/>
        <v>54</v>
      </c>
      <c r="FD16" s="101">
        <f t="shared" si="7"/>
        <v>54</v>
      </c>
      <c r="FE16" s="141">
        <f t="shared" si="14"/>
        <v>21</v>
      </c>
      <c r="FF16" s="140">
        <f t="shared" si="1"/>
        <v>800</v>
      </c>
      <c r="FI16" s="232"/>
      <c r="FJ16" s="232"/>
      <c r="FK16" s="232"/>
      <c r="FL16" s="232"/>
      <c r="FM16" s="232"/>
      <c r="FN16" s="232"/>
      <c r="FO16" s="232"/>
      <c r="FP16" s="232"/>
    </row>
    <row r="17" spans="1:166" ht="12" customHeight="1" x14ac:dyDescent="0.2">
      <c r="A17" s="42" t="s">
        <v>27</v>
      </c>
      <c r="B17" s="8">
        <v>0</v>
      </c>
      <c r="C17" s="7">
        <v>187</v>
      </c>
      <c r="D17" s="4">
        <f t="shared" si="8"/>
        <v>12</v>
      </c>
      <c r="E17" s="7">
        <v>7</v>
      </c>
      <c r="F17" s="44">
        <f t="shared" si="2"/>
        <v>187</v>
      </c>
      <c r="G17" s="8">
        <v>51</v>
      </c>
      <c r="H17" s="7">
        <v>272</v>
      </c>
      <c r="I17" s="6">
        <f t="shared" si="9"/>
        <v>67</v>
      </c>
      <c r="J17" s="7">
        <v>8</v>
      </c>
      <c r="K17" s="53">
        <f t="shared" si="3"/>
        <v>323</v>
      </c>
      <c r="L17" s="183">
        <v>0</v>
      </c>
      <c r="M17" s="7">
        <v>149</v>
      </c>
      <c r="N17" s="6">
        <f t="shared" si="10"/>
        <v>28</v>
      </c>
      <c r="O17" s="7">
        <v>7</v>
      </c>
      <c r="P17" s="187">
        <f t="shared" si="4"/>
        <v>149</v>
      </c>
      <c r="Q17" s="8">
        <v>0</v>
      </c>
      <c r="R17" s="7">
        <v>50</v>
      </c>
      <c r="S17" s="6">
        <f t="shared" si="11"/>
        <v>14</v>
      </c>
      <c r="T17" s="7">
        <v>2</v>
      </c>
      <c r="U17" s="57">
        <f t="shared" si="12"/>
        <v>50</v>
      </c>
      <c r="V17" s="124"/>
      <c r="W17" s="102"/>
      <c r="X17" s="100"/>
      <c r="Y17" s="102"/>
      <c r="Z17" s="113"/>
      <c r="AA17" s="159"/>
      <c r="AB17" s="102"/>
      <c r="AC17" s="100"/>
      <c r="AD17" s="102"/>
      <c r="AE17" s="159"/>
      <c r="AF17" s="124"/>
      <c r="AG17" s="102"/>
      <c r="AH17" s="100"/>
      <c r="AI17" s="102"/>
      <c r="AJ17" s="113"/>
      <c r="AK17" s="159"/>
      <c r="AL17" s="102"/>
      <c r="AM17" s="100"/>
      <c r="AN17" s="102"/>
      <c r="AO17" s="159"/>
      <c r="AP17" s="124"/>
      <c r="AQ17" s="102"/>
      <c r="AR17" s="100"/>
      <c r="AS17" s="102"/>
      <c r="AT17" s="113"/>
      <c r="AU17" s="175"/>
      <c r="AV17" s="103"/>
      <c r="AW17" s="100"/>
      <c r="AX17" s="102"/>
      <c r="AY17" s="165"/>
      <c r="AZ17" s="126"/>
      <c r="BA17" s="103"/>
      <c r="BB17" s="100"/>
      <c r="BC17" s="102"/>
      <c r="BD17" s="110"/>
      <c r="BE17" s="175"/>
      <c r="BF17" s="102"/>
      <c r="BG17" s="100"/>
      <c r="BH17" s="102"/>
      <c r="BI17" s="165"/>
      <c r="BJ17" s="126"/>
      <c r="BK17" s="102"/>
      <c r="BL17" s="100"/>
      <c r="BM17" s="102"/>
      <c r="BN17" s="110"/>
      <c r="BO17" s="175"/>
      <c r="BP17" s="102"/>
      <c r="BQ17" s="102"/>
      <c r="BR17" s="102"/>
      <c r="BS17" s="102"/>
      <c r="BT17" s="165"/>
      <c r="BU17" s="126"/>
      <c r="BV17" s="175"/>
      <c r="BW17" s="175"/>
      <c r="BX17" s="175"/>
      <c r="BY17" s="175"/>
      <c r="BZ17" s="113"/>
      <c r="CA17" s="175"/>
      <c r="CB17" s="175"/>
      <c r="CC17" s="175"/>
      <c r="CD17" s="175"/>
      <c r="CE17" s="175"/>
      <c r="CF17" s="159"/>
      <c r="CG17" s="126"/>
      <c r="CH17" s="175"/>
      <c r="CI17" s="175"/>
      <c r="CJ17" s="175"/>
      <c r="CK17" s="175"/>
      <c r="CL17" s="113"/>
      <c r="CM17" s="175"/>
      <c r="CN17" s="175"/>
      <c r="CO17" s="175"/>
      <c r="CP17" s="175"/>
      <c r="CQ17" s="175"/>
      <c r="CR17" s="159"/>
      <c r="CS17" s="126"/>
      <c r="CT17" s="175"/>
      <c r="CU17" s="175"/>
      <c r="CV17" s="175"/>
      <c r="CW17" s="175"/>
      <c r="CX17" s="113"/>
      <c r="CY17" s="126"/>
      <c r="CZ17" s="175"/>
      <c r="DA17" s="175"/>
      <c r="DB17" s="175"/>
      <c r="DC17" s="175"/>
      <c r="DD17" s="113"/>
      <c r="DE17" s="175"/>
      <c r="DF17" s="175"/>
      <c r="DG17" s="175"/>
      <c r="DH17" s="175"/>
      <c r="DI17" s="175"/>
      <c r="DJ17" s="159"/>
      <c r="DK17" s="126"/>
      <c r="DL17" s="175"/>
      <c r="DM17" s="175"/>
      <c r="DN17" s="175"/>
      <c r="DO17" s="175"/>
      <c r="DP17" s="113"/>
      <c r="DQ17" s="175"/>
      <c r="DR17" s="175"/>
      <c r="DS17" s="175"/>
      <c r="DT17" s="175"/>
      <c r="DU17" s="175"/>
      <c r="DV17" s="159"/>
      <c r="DW17" s="126"/>
      <c r="DX17" s="175"/>
      <c r="DY17" s="175"/>
      <c r="DZ17" s="175"/>
      <c r="EA17" s="175"/>
      <c r="EB17" s="113"/>
      <c r="EC17" s="126"/>
      <c r="ED17" s="175"/>
      <c r="EE17" s="175"/>
      <c r="EF17" s="175"/>
      <c r="EG17" s="175"/>
      <c r="EH17" s="113"/>
      <c r="EI17" s="126"/>
      <c r="EJ17" s="175"/>
      <c r="EK17" s="175"/>
      <c r="EL17" s="175"/>
      <c r="EM17" s="175"/>
      <c r="EN17" s="113"/>
      <c r="EO17" s="127"/>
      <c r="EP17" s="176"/>
      <c r="EQ17" s="176"/>
      <c r="ER17" s="176"/>
      <c r="ES17" s="176"/>
      <c r="ET17" s="112"/>
      <c r="EU17" s="160"/>
      <c r="EV17" s="160"/>
      <c r="EW17" s="160"/>
      <c r="EX17" s="160"/>
      <c r="EY17" s="160"/>
      <c r="EZ17" s="160"/>
      <c r="FA17" s="171">
        <f t="shared" si="13"/>
        <v>51</v>
      </c>
      <c r="FB17" s="100">
        <f t="shared" si="5"/>
        <v>658</v>
      </c>
      <c r="FC17" s="227">
        <f t="shared" si="6"/>
        <v>121</v>
      </c>
      <c r="FD17" s="100">
        <f t="shared" si="7"/>
        <v>121</v>
      </c>
      <c r="FE17" s="141">
        <f t="shared" si="14"/>
        <v>24</v>
      </c>
      <c r="FF17" s="138">
        <f t="shared" si="1"/>
        <v>709</v>
      </c>
      <c r="FI17" s="232"/>
      <c r="FJ17" s="232"/>
    </row>
    <row r="18" spans="1:166" ht="12" customHeight="1" x14ac:dyDescent="0.2">
      <c r="A18" s="43" t="s">
        <v>28</v>
      </c>
      <c r="B18" s="58">
        <v>37</v>
      </c>
      <c r="C18" s="34">
        <v>166</v>
      </c>
      <c r="D18" s="36">
        <f t="shared" si="8"/>
        <v>14</v>
      </c>
      <c r="E18" s="34">
        <v>11</v>
      </c>
      <c r="F18" s="50">
        <f t="shared" si="2"/>
        <v>203</v>
      </c>
      <c r="G18" s="58">
        <v>2</v>
      </c>
      <c r="H18" s="34">
        <v>293</v>
      </c>
      <c r="I18" s="33">
        <f t="shared" si="9"/>
        <v>22</v>
      </c>
      <c r="J18" s="34">
        <v>20</v>
      </c>
      <c r="K18" s="54">
        <f t="shared" si="3"/>
        <v>295</v>
      </c>
      <c r="L18" s="184">
        <v>23</v>
      </c>
      <c r="M18" s="34">
        <v>129</v>
      </c>
      <c r="N18" s="33">
        <f t="shared" si="10"/>
        <v>13</v>
      </c>
      <c r="O18" s="34">
        <v>31</v>
      </c>
      <c r="P18" s="197">
        <f t="shared" si="4"/>
        <v>152</v>
      </c>
      <c r="Q18" s="58">
        <v>0</v>
      </c>
      <c r="R18" s="34">
        <v>51</v>
      </c>
      <c r="S18" s="33">
        <f t="shared" si="11"/>
        <v>-3</v>
      </c>
      <c r="T18" s="34">
        <v>10</v>
      </c>
      <c r="U18" s="59">
        <f t="shared" si="12"/>
        <v>51</v>
      </c>
      <c r="V18" s="125">
        <v>105</v>
      </c>
      <c r="W18" s="103">
        <v>0</v>
      </c>
      <c r="X18" s="101">
        <f t="shared" ref="X18:X24" si="15">SUM(Z17-W18-Y17)</f>
        <v>0</v>
      </c>
      <c r="Y18" s="103">
        <v>0</v>
      </c>
      <c r="Z18" s="112">
        <f>SUM(V18+W18)</f>
        <v>105</v>
      </c>
      <c r="AA18" s="160"/>
      <c r="AB18" s="103"/>
      <c r="AC18" s="101"/>
      <c r="AD18" s="103"/>
      <c r="AE18" s="160"/>
      <c r="AF18" s="125"/>
      <c r="AG18" s="103"/>
      <c r="AH18" s="101"/>
      <c r="AI18" s="103"/>
      <c r="AJ18" s="112"/>
      <c r="AK18" s="160"/>
      <c r="AL18" s="103"/>
      <c r="AM18" s="101"/>
      <c r="AN18" s="103"/>
      <c r="AO18" s="160"/>
      <c r="AP18" s="125"/>
      <c r="AQ18" s="103"/>
      <c r="AR18" s="101"/>
      <c r="AS18" s="103"/>
      <c r="AT18" s="112"/>
      <c r="AU18" s="176"/>
      <c r="AV18" s="103"/>
      <c r="AW18" s="101"/>
      <c r="AX18" s="103"/>
      <c r="AY18" s="160"/>
      <c r="AZ18" s="127"/>
      <c r="BA18" s="103"/>
      <c r="BB18" s="101"/>
      <c r="BC18" s="103"/>
      <c r="BD18" s="112"/>
      <c r="BE18" s="176"/>
      <c r="BF18" s="103"/>
      <c r="BG18" s="101"/>
      <c r="BH18" s="103"/>
      <c r="BI18" s="160"/>
      <c r="BJ18" s="127"/>
      <c r="BK18" s="103"/>
      <c r="BL18" s="101"/>
      <c r="BM18" s="103"/>
      <c r="BN18" s="112"/>
      <c r="BO18" s="176"/>
      <c r="BP18" s="103"/>
      <c r="BQ18" s="103"/>
      <c r="BR18" s="103"/>
      <c r="BS18" s="103"/>
      <c r="BT18" s="166"/>
      <c r="BU18" s="127"/>
      <c r="BV18" s="176"/>
      <c r="BW18" s="176"/>
      <c r="BX18" s="176"/>
      <c r="BY18" s="176"/>
      <c r="BZ18" s="112"/>
      <c r="CA18" s="176"/>
      <c r="CB18" s="176"/>
      <c r="CC18" s="176"/>
      <c r="CD18" s="176"/>
      <c r="CE18" s="176"/>
      <c r="CF18" s="160"/>
      <c r="CG18" s="127"/>
      <c r="CH18" s="176"/>
      <c r="CI18" s="176"/>
      <c r="CJ18" s="176"/>
      <c r="CK18" s="176"/>
      <c r="CL18" s="112"/>
      <c r="CM18" s="176"/>
      <c r="CN18" s="176"/>
      <c r="CO18" s="176"/>
      <c r="CP18" s="176"/>
      <c r="CQ18" s="176"/>
      <c r="CR18" s="160"/>
      <c r="CS18" s="127"/>
      <c r="CT18" s="176"/>
      <c r="CU18" s="176"/>
      <c r="CV18" s="176"/>
      <c r="CW18" s="176"/>
      <c r="CX18" s="112"/>
      <c r="CY18" s="127"/>
      <c r="CZ18" s="176"/>
      <c r="DA18" s="176"/>
      <c r="DB18" s="176"/>
      <c r="DC18" s="176"/>
      <c r="DD18" s="112"/>
      <c r="DE18" s="176"/>
      <c r="DF18" s="176"/>
      <c r="DG18" s="176"/>
      <c r="DH18" s="176"/>
      <c r="DI18" s="176"/>
      <c r="DJ18" s="160"/>
      <c r="DK18" s="127"/>
      <c r="DL18" s="176"/>
      <c r="DM18" s="176"/>
      <c r="DN18" s="176"/>
      <c r="DO18" s="176"/>
      <c r="DP18" s="112"/>
      <c r="DQ18" s="176"/>
      <c r="DR18" s="176"/>
      <c r="DS18" s="176"/>
      <c r="DT18" s="176"/>
      <c r="DU18" s="176"/>
      <c r="DV18" s="160"/>
      <c r="DW18" s="127"/>
      <c r="DX18" s="176"/>
      <c r="DY18" s="176"/>
      <c r="DZ18" s="176"/>
      <c r="EA18" s="176"/>
      <c r="EB18" s="112"/>
      <c r="EC18" s="127"/>
      <c r="ED18" s="176"/>
      <c r="EE18" s="176"/>
      <c r="EF18" s="176"/>
      <c r="EG18" s="176"/>
      <c r="EH18" s="112"/>
      <c r="EI18" s="127"/>
      <c r="EJ18" s="176"/>
      <c r="EK18" s="176"/>
      <c r="EL18" s="176"/>
      <c r="EM18" s="176"/>
      <c r="EN18" s="112"/>
      <c r="EO18" s="126"/>
      <c r="EP18" s="175"/>
      <c r="EQ18" s="175"/>
      <c r="ER18" s="175"/>
      <c r="ES18" s="175"/>
      <c r="ET18" s="113"/>
      <c r="EU18" s="159"/>
      <c r="EV18" s="159"/>
      <c r="EW18" s="159"/>
      <c r="EX18" s="159"/>
      <c r="EY18" s="159"/>
      <c r="EZ18" s="159"/>
      <c r="FA18" s="171">
        <f t="shared" si="13"/>
        <v>167</v>
      </c>
      <c r="FB18" s="100">
        <f t="shared" si="5"/>
        <v>639</v>
      </c>
      <c r="FC18" s="227">
        <f t="shared" si="6"/>
        <v>46</v>
      </c>
      <c r="FD18" s="101">
        <f t="shared" si="7"/>
        <v>46</v>
      </c>
      <c r="FE18" s="141">
        <f t="shared" si="14"/>
        <v>72</v>
      </c>
      <c r="FF18" s="140">
        <f>SUM(FA18+FB18)</f>
        <v>806</v>
      </c>
    </row>
    <row r="19" spans="1:166" ht="12" customHeight="1" x14ac:dyDescent="0.2">
      <c r="A19" s="42" t="s">
        <v>29</v>
      </c>
      <c r="B19" s="8">
        <v>9</v>
      </c>
      <c r="C19" s="7">
        <v>183</v>
      </c>
      <c r="D19" s="4">
        <f t="shared" si="8"/>
        <v>9</v>
      </c>
      <c r="E19" s="7">
        <v>26</v>
      </c>
      <c r="F19" s="44">
        <f t="shared" si="2"/>
        <v>192</v>
      </c>
      <c r="G19" s="18">
        <v>0</v>
      </c>
      <c r="H19" s="7">
        <v>251</v>
      </c>
      <c r="I19" s="6">
        <f t="shared" si="9"/>
        <v>24</v>
      </c>
      <c r="J19" s="7">
        <v>27</v>
      </c>
      <c r="K19" s="53">
        <f t="shared" si="3"/>
        <v>251</v>
      </c>
      <c r="L19" s="183">
        <v>6</v>
      </c>
      <c r="M19" s="7">
        <v>114</v>
      </c>
      <c r="N19" s="6">
        <f t="shared" si="10"/>
        <v>7</v>
      </c>
      <c r="O19" s="7">
        <v>17</v>
      </c>
      <c r="P19" s="187">
        <f t="shared" si="4"/>
        <v>120</v>
      </c>
      <c r="Q19" s="8">
        <v>0</v>
      </c>
      <c r="R19" s="7">
        <v>39</v>
      </c>
      <c r="S19" s="6">
        <f t="shared" si="11"/>
        <v>2</v>
      </c>
      <c r="T19" s="7">
        <v>18</v>
      </c>
      <c r="U19" s="57">
        <f t="shared" si="12"/>
        <v>39</v>
      </c>
      <c r="V19" s="124">
        <v>25</v>
      </c>
      <c r="W19" s="102">
        <v>80</v>
      </c>
      <c r="X19" s="100">
        <f t="shared" si="15"/>
        <v>25</v>
      </c>
      <c r="Y19" s="102">
        <v>0</v>
      </c>
      <c r="Z19" s="113">
        <f>SUM(V19+W19)</f>
        <v>105</v>
      </c>
      <c r="AA19" s="159">
        <v>6</v>
      </c>
      <c r="AB19" s="102">
        <v>0</v>
      </c>
      <c r="AC19" s="100">
        <f t="shared" ref="AC19:AC24" si="16">SUM(AE18-AB19-AD18)</f>
        <v>0</v>
      </c>
      <c r="AD19" s="102">
        <v>0</v>
      </c>
      <c r="AE19" s="159">
        <f>SUM(AA19+AB19)</f>
        <v>6</v>
      </c>
      <c r="AF19" s="124"/>
      <c r="AG19" s="102"/>
      <c r="AH19" s="100"/>
      <c r="AI19" s="102"/>
      <c r="AJ19" s="113"/>
      <c r="AK19" s="159"/>
      <c r="AL19" s="102"/>
      <c r="AM19" s="100"/>
      <c r="AN19" s="102"/>
      <c r="AO19" s="159"/>
      <c r="AP19" s="124"/>
      <c r="AQ19" s="102"/>
      <c r="AR19" s="100"/>
      <c r="AS19" s="102"/>
      <c r="AT19" s="113"/>
      <c r="AU19" s="175"/>
      <c r="AV19" s="103"/>
      <c r="AW19" s="100"/>
      <c r="AX19" s="102"/>
      <c r="AY19" s="159"/>
      <c r="AZ19" s="126"/>
      <c r="BA19" s="103"/>
      <c r="BB19" s="100"/>
      <c r="BC19" s="102"/>
      <c r="BD19" s="113"/>
      <c r="BE19" s="175"/>
      <c r="BF19" s="102"/>
      <c r="BG19" s="100"/>
      <c r="BH19" s="102"/>
      <c r="BI19" s="159"/>
      <c r="BJ19" s="126"/>
      <c r="BK19" s="102"/>
      <c r="BL19" s="100"/>
      <c r="BM19" s="102"/>
      <c r="BN19" s="113"/>
      <c r="BO19" s="175"/>
      <c r="BP19" s="102"/>
      <c r="BQ19" s="102"/>
      <c r="BR19" s="102"/>
      <c r="BS19" s="102"/>
      <c r="BT19" s="165"/>
      <c r="BU19" s="126"/>
      <c r="BV19" s="175"/>
      <c r="BW19" s="175"/>
      <c r="BX19" s="175"/>
      <c r="BY19" s="175"/>
      <c r="BZ19" s="113"/>
      <c r="CA19" s="175"/>
      <c r="CB19" s="175"/>
      <c r="CC19" s="175"/>
      <c r="CD19" s="175"/>
      <c r="CE19" s="175"/>
      <c r="CF19" s="159"/>
      <c r="CG19" s="126"/>
      <c r="CH19" s="175"/>
      <c r="CI19" s="175"/>
      <c r="CJ19" s="175"/>
      <c r="CK19" s="175"/>
      <c r="CL19" s="113"/>
      <c r="CM19" s="175"/>
      <c r="CN19" s="175"/>
      <c r="CO19" s="175"/>
      <c r="CP19" s="175"/>
      <c r="CQ19" s="175"/>
      <c r="CR19" s="159"/>
      <c r="CS19" s="126"/>
      <c r="CT19" s="175"/>
      <c r="CU19" s="175"/>
      <c r="CV19" s="175"/>
      <c r="CW19" s="175"/>
      <c r="CX19" s="113"/>
      <c r="CY19" s="126"/>
      <c r="CZ19" s="175"/>
      <c r="DA19" s="175"/>
      <c r="DB19" s="175"/>
      <c r="DC19" s="175"/>
      <c r="DD19" s="113"/>
      <c r="DE19" s="175"/>
      <c r="DF19" s="175"/>
      <c r="DG19" s="175"/>
      <c r="DH19" s="175"/>
      <c r="DI19" s="175"/>
      <c r="DJ19" s="159"/>
      <c r="DK19" s="126"/>
      <c r="DL19" s="175"/>
      <c r="DM19" s="175"/>
      <c r="DN19" s="175"/>
      <c r="DO19" s="175"/>
      <c r="DP19" s="113"/>
      <c r="DQ19" s="175"/>
      <c r="DR19" s="175"/>
      <c r="DS19" s="175"/>
      <c r="DT19" s="175"/>
      <c r="DU19" s="175"/>
      <c r="DV19" s="159"/>
      <c r="DW19" s="126"/>
      <c r="DX19" s="175"/>
      <c r="DY19" s="175"/>
      <c r="DZ19" s="175"/>
      <c r="EA19" s="175"/>
      <c r="EB19" s="113"/>
      <c r="EC19" s="126"/>
      <c r="ED19" s="175"/>
      <c r="EE19" s="175"/>
      <c r="EF19" s="175"/>
      <c r="EG19" s="175"/>
      <c r="EH19" s="113"/>
      <c r="EI19" s="126"/>
      <c r="EJ19" s="175"/>
      <c r="EK19" s="175"/>
      <c r="EL19" s="175"/>
      <c r="EM19" s="175"/>
      <c r="EN19" s="113"/>
      <c r="EO19" s="127"/>
      <c r="EP19" s="176"/>
      <c r="EQ19" s="176"/>
      <c r="ER19" s="176"/>
      <c r="ES19" s="176"/>
      <c r="ET19" s="112"/>
      <c r="EU19" s="160"/>
      <c r="EV19" s="160"/>
      <c r="EW19" s="160"/>
      <c r="EX19" s="160"/>
      <c r="EY19" s="160"/>
      <c r="EZ19" s="160"/>
      <c r="FA19" s="171">
        <f t="shared" si="13"/>
        <v>46</v>
      </c>
      <c r="FB19" s="100">
        <f t="shared" si="5"/>
        <v>667</v>
      </c>
      <c r="FC19" s="227">
        <f t="shared" si="6"/>
        <v>67</v>
      </c>
      <c r="FD19" s="100">
        <f t="shared" si="7"/>
        <v>67</v>
      </c>
      <c r="FE19" s="141">
        <f t="shared" si="14"/>
        <v>88</v>
      </c>
      <c r="FF19" s="138">
        <f>SUM(FA19+FB19)</f>
        <v>713</v>
      </c>
    </row>
    <row r="20" spans="1:166" ht="12" customHeight="1" x14ac:dyDescent="0.2">
      <c r="A20" s="42" t="s">
        <v>30</v>
      </c>
      <c r="B20" s="45">
        <v>0</v>
      </c>
      <c r="C20" s="7">
        <v>132</v>
      </c>
      <c r="D20" s="4">
        <f t="shared" si="8"/>
        <v>34</v>
      </c>
      <c r="E20" s="7">
        <v>11</v>
      </c>
      <c r="F20" s="44">
        <f t="shared" si="2"/>
        <v>132</v>
      </c>
      <c r="G20" s="10">
        <v>0</v>
      </c>
      <c r="H20" s="7">
        <v>212</v>
      </c>
      <c r="I20" s="6">
        <f t="shared" si="9"/>
        <v>12</v>
      </c>
      <c r="J20" s="7">
        <v>30</v>
      </c>
      <c r="K20" s="53">
        <f t="shared" si="3"/>
        <v>212</v>
      </c>
      <c r="L20" s="187">
        <v>0</v>
      </c>
      <c r="M20" s="7">
        <v>91</v>
      </c>
      <c r="N20" s="6">
        <f t="shared" si="10"/>
        <v>12</v>
      </c>
      <c r="O20" s="7">
        <v>18</v>
      </c>
      <c r="P20" s="187">
        <f t="shared" si="4"/>
        <v>91</v>
      </c>
      <c r="Q20" s="8">
        <v>0</v>
      </c>
      <c r="R20" s="7">
        <v>19</v>
      </c>
      <c r="S20" s="6">
        <f t="shared" si="11"/>
        <v>2</v>
      </c>
      <c r="T20" s="7">
        <v>9</v>
      </c>
      <c r="U20" s="57">
        <f t="shared" si="12"/>
        <v>19</v>
      </c>
      <c r="V20" s="124">
        <v>105</v>
      </c>
      <c r="W20" s="102">
        <v>96</v>
      </c>
      <c r="X20" s="100">
        <f t="shared" si="15"/>
        <v>9</v>
      </c>
      <c r="Y20" s="102">
        <v>0</v>
      </c>
      <c r="Z20" s="113">
        <f>SUM(V20+W20)</f>
        <v>201</v>
      </c>
      <c r="AA20" s="159">
        <v>24</v>
      </c>
      <c r="AB20" s="102">
        <v>2</v>
      </c>
      <c r="AC20" s="100">
        <f t="shared" si="16"/>
        <v>4</v>
      </c>
      <c r="AD20" s="102">
        <v>0</v>
      </c>
      <c r="AE20" s="159">
        <f>SUM(AA20+AB20)</f>
        <v>26</v>
      </c>
      <c r="AF20" s="124">
        <v>17</v>
      </c>
      <c r="AG20" s="102">
        <v>0</v>
      </c>
      <c r="AH20" s="100">
        <f>SUM(AJ19-AG20-AI19)</f>
        <v>0</v>
      </c>
      <c r="AI20" s="102">
        <v>0</v>
      </c>
      <c r="AJ20" s="113">
        <f>SUM(AF20+AG20)</f>
        <v>17</v>
      </c>
      <c r="AK20" s="159">
        <v>45</v>
      </c>
      <c r="AL20" s="102">
        <v>0</v>
      </c>
      <c r="AM20" s="100">
        <f>SUM(AO19-AL20-AN19)</f>
        <v>0</v>
      </c>
      <c r="AN20" s="102">
        <v>0</v>
      </c>
      <c r="AO20" s="159">
        <f>SUM(AK20+AL20)</f>
        <v>45</v>
      </c>
      <c r="AP20" s="124">
        <v>63</v>
      </c>
      <c r="AQ20" s="102">
        <v>0</v>
      </c>
      <c r="AR20" s="100">
        <f>SUM(AT19-AQ20-AS19)</f>
        <v>0</v>
      </c>
      <c r="AS20" s="102">
        <v>0</v>
      </c>
      <c r="AT20" s="113">
        <f>SUM(AP20+AQ20)</f>
        <v>63</v>
      </c>
      <c r="AU20" s="175"/>
      <c r="AV20" s="103"/>
      <c r="AW20" s="100"/>
      <c r="AX20" s="102"/>
      <c r="AY20" s="159"/>
      <c r="AZ20" s="126"/>
      <c r="BA20" s="103"/>
      <c r="BB20" s="100"/>
      <c r="BC20" s="102"/>
      <c r="BD20" s="113"/>
      <c r="BE20" s="175"/>
      <c r="BF20" s="102"/>
      <c r="BG20" s="100"/>
      <c r="BH20" s="102"/>
      <c r="BI20" s="159"/>
      <c r="BJ20" s="126"/>
      <c r="BK20" s="102"/>
      <c r="BL20" s="100"/>
      <c r="BM20" s="102"/>
      <c r="BN20" s="113"/>
      <c r="BO20" s="175"/>
      <c r="BP20" s="102"/>
      <c r="BQ20" s="102"/>
      <c r="BR20" s="102"/>
      <c r="BS20" s="102"/>
      <c r="BT20" s="165"/>
      <c r="BU20" s="126"/>
      <c r="BV20" s="175"/>
      <c r="BW20" s="175"/>
      <c r="BX20" s="175"/>
      <c r="BY20" s="175"/>
      <c r="BZ20" s="113"/>
      <c r="CA20" s="175"/>
      <c r="CB20" s="175"/>
      <c r="CC20" s="175"/>
      <c r="CD20" s="175"/>
      <c r="CE20" s="175"/>
      <c r="CF20" s="159"/>
      <c r="CG20" s="126"/>
      <c r="CH20" s="175"/>
      <c r="CI20" s="175"/>
      <c r="CJ20" s="175"/>
      <c r="CK20" s="175"/>
      <c r="CL20" s="113"/>
      <c r="CM20" s="175"/>
      <c r="CN20" s="175"/>
      <c r="CO20" s="175"/>
      <c r="CP20" s="175"/>
      <c r="CQ20" s="175"/>
      <c r="CR20" s="159"/>
      <c r="CS20" s="126"/>
      <c r="CT20" s="175"/>
      <c r="CU20" s="175"/>
      <c r="CV20" s="175"/>
      <c r="CW20" s="175"/>
      <c r="CX20" s="113"/>
      <c r="CY20" s="126"/>
      <c r="CZ20" s="175"/>
      <c r="DA20" s="175"/>
      <c r="DB20" s="175"/>
      <c r="DC20" s="175"/>
      <c r="DD20" s="113"/>
      <c r="DE20" s="175"/>
      <c r="DF20" s="175"/>
      <c r="DG20" s="175"/>
      <c r="DH20" s="175"/>
      <c r="DI20" s="175"/>
      <c r="DJ20" s="159"/>
      <c r="DK20" s="126"/>
      <c r="DL20" s="175"/>
      <c r="DM20" s="175"/>
      <c r="DN20" s="175"/>
      <c r="DO20" s="175"/>
      <c r="DP20" s="113"/>
      <c r="DQ20" s="175"/>
      <c r="DR20" s="175"/>
      <c r="DS20" s="175"/>
      <c r="DT20" s="175"/>
      <c r="DU20" s="175"/>
      <c r="DV20" s="159"/>
      <c r="DW20" s="126"/>
      <c r="DX20" s="175"/>
      <c r="DY20" s="175"/>
      <c r="DZ20" s="175"/>
      <c r="EA20" s="175"/>
      <c r="EB20" s="113"/>
      <c r="EC20" s="126"/>
      <c r="ED20" s="175"/>
      <c r="EE20" s="175"/>
      <c r="EF20" s="175"/>
      <c r="EG20" s="175"/>
      <c r="EH20" s="113"/>
      <c r="EI20" s="126"/>
      <c r="EJ20" s="175"/>
      <c r="EK20" s="175"/>
      <c r="EL20" s="175"/>
      <c r="EM20" s="175"/>
      <c r="EN20" s="113"/>
      <c r="EO20" s="126"/>
      <c r="EP20" s="175"/>
      <c r="EQ20" s="175"/>
      <c r="ER20" s="175"/>
      <c r="ES20" s="175"/>
      <c r="ET20" s="113"/>
      <c r="EU20" s="159"/>
      <c r="EV20" s="159"/>
      <c r="EW20" s="159"/>
      <c r="EX20" s="159"/>
      <c r="EY20" s="159"/>
      <c r="EZ20" s="159"/>
      <c r="FA20" s="171">
        <f t="shared" si="13"/>
        <v>254</v>
      </c>
      <c r="FB20" s="100">
        <f t="shared" si="5"/>
        <v>552</v>
      </c>
      <c r="FC20" s="227">
        <f t="shared" si="6"/>
        <v>73</v>
      </c>
      <c r="FD20" s="100">
        <f t="shared" si="7"/>
        <v>73</v>
      </c>
      <c r="FE20" s="141">
        <f t="shared" si="14"/>
        <v>68</v>
      </c>
      <c r="FF20" s="138">
        <f>SUM(FA20+FB20)</f>
        <v>806</v>
      </c>
    </row>
    <row r="21" spans="1:166" ht="12" customHeight="1" x14ac:dyDescent="0.2">
      <c r="A21" s="42" t="s">
        <v>31</v>
      </c>
      <c r="B21" s="46">
        <v>0</v>
      </c>
      <c r="C21" s="7">
        <v>107</v>
      </c>
      <c r="D21" s="4">
        <f t="shared" si="8"/>
        <v>14</v>
      </c>
      <c r="E21" s="7">
        <v>17</v>
      </c>
      <c r="F21" s="44">
        <f t="shared" si="2"/>
        <v>107</v>
      </c>
      <c r="G21" s="10">
        <v>0</v>
      </c>
      <c r="H21" s="7">
        <v>163</v>
      </c>
      <c r="I21" s="6">
        <f t="shared" si="9"/>
        <v>19</v>
      </c>
      <c r="J21" s="7">
        <v>20</v>
      </c>
      <c r="K21" s="53">
        <f t="shared" si="3"/>
        <v>163</v>
      </c>
      <c r="L21" s="187">
        <v>0</v>
      </c>
      <c r="M21" s="7">
        <v>58</v>
      </c>
      <c r="N21" s="6">
        <f t="shared" si="10"/>
        <v>15</v>
      </c>
      <c r="O21" s="7">
        <v>5</v>
      </c>
      <c r="P21" s="187">
        <f t="shared" si="4"/>
        <v>58</v>
      </c>
      <c r="Q21" s="8">
        <v>0</v>
      </c>
      <c r="R21" s="7">
        <v>11</v>
      </c>
      <c r="S21" s="6">
        <f t="shared" si="11"/>
        <v>-1</v>
      </c>
      <c r="T21" s="7">
        <v>3</v>
      </c>
      <c r="U21" s="57">
        <f t="shared" si="12"/>
        <v>11</v>
      </c>
      <c r="V21" s="124">
        <v>26</v>
      </c>
      <c r="W21" s="102">
        <v>148</v>
      </c>
      <c r="X21" s="100">
        <f t="shared" si="15"/>
        <v>53</v>
      </c>
      <c r="Y21" s="102">
        <v>0</v>
      </c>
      <c r="Z21" s="113">
        <f>SUM(V21+W21)</f>
        <v>174</v>
      </c>
      <c r="AA21" s="159">
        <v>0</v>
      </c>
      <c r="AB21" s="102">
        <v>21</v>
      </c>
      <c r="AC21" s="100">
        <f t="shared" si="16"/>
        <v>5</v>
      </c>
      <c r="AD21" s="102">
        <v>0</v>
      </c>
      <c r="AE21" s="159">
        <f>SUM(AA21+AB21)</f>
        <v>21</v>
      </c>
      <c r="AF21" s="124">
        <v>10</v>
      </c>
      <c r="AG21" s="102">
        <v>8</v>
      </c>
      <c r="AH21" s="100">
        <f>SUM(AJ20-AG21-AI20)</f>
        <v>9</v>
      </c>
      <c r="AI21" s="102">
        <v>0</v>
      </c>
      <c r="AJ21" s="113">
        <f>SUM(AF21+AG21)</f>
        <v>18</v>
      </c>
      <c r="AK21" s="159">
        <v>1</v>
      </c>
      <c r="AL21" s="102">
        <v>28</v>
      </c>
      <c r="AM21" s="100">
        <f>SUM(AO20-AL21-AN20)</f>
        <v>17</v>
      </c>
      <c r="AN21" s="102">
        <v>0</v>
      </c>
      <c r="AO21" s="159">
        <f>SUM(AK21+AL21)</f>
        <v>29</v>
      </c>
      <c r="AP21" s="124">
        <v>34</v>
      </c>
      <c r="AQ21" s="102">
        <v>46</v>
      </c>
      <c r="AR21" s="100">
        <f>SUM(AT20-AQ21-AS20)</f>
        <v>17</v>
      </c>
      <c r="AS21" s="102">
        <v>0</v>
      </c>
      <c r="AT21" s="113">
        <f>SUM(AP21+AQ21)</f>
        <v>80</v>
      </c>
      <c r="AU21" s="175"/>
      <c r="AV21" s="103"/>
      <c r="AW21" s="100"/>
      <c r="AX21" s="102"/>
      <c r="AY21" s="159"/>
      <c r="AZ21" s="126"/>
      <c r="BA21" s="103"/>
      <c r="BB21" s="100"/>
      <c r="BC21" s="102"/>
      <c r="BD21" s="113"/>
      <c r="BE21" s="175"/>
      <c r="BF21" s="102"/>
      <c r="BG21" s="100"/>
      <c r="BH21" s="102"/>
      <c r="BI21" s="159"/>
      <c r="BJ21" s="126"/>
      <c r="BK21" s="102"/>
      <c r="BL21" s="100"/>
      <c r="BM21" s="102"/>
      <c r="BN21" s="113"/>
      <c r="BO21" s="175"/>
      <c r="BP21" s="102"/>
      <c r="BQ21" s="102"/>
      <c r="BR21" s="102"/>
      <c r="BS21" s="102"/>
      <c r="BT21" s="165"/>
      <c r="BU21" s="126"/>
      <c r="BV21" s="175"/>
      <c r="BW21" s="175"/>
      <c r="BX21" s="175"/>
      <c r="BY21" s="175"/>
      <c r="BZ21" s="113"/>
      <c r="CA21" s="175"/>
      <c r="CB21" s="175"/>
      <c r="CC21" s="175"/>
      <c r="CD21" s="175"/>
      <c r="CE21" s="175"/>
      <c r="CF21" s="159"/>
      <c r="CG21" s="126"/>
      <c r="CH21" s="175"/>
      <c r="CI21" s="175"/>
      <c r="CJ21" s="175"/>
      <c r="CK21" s="175"/>
      <c r="CL21" s="113"/>
      <c r="CM21" s="175"/>
      <c r="CN21" s="175"/>
      <c r="CO21" s="175"/>
      <c r="CP21" s="175"/>
      <c r="CQ21" s="175"/>
      <c r="CR21" s="159"/>
      <c r="CS21" s="126"/>
      <c r="CT21" s="175"/>
      <c r="CU21" s="175"/>
      <c r="CV21" s="175"/>
      <c r="CW21" s="175"/>
      <c r="CX21" s="113"/>
      <c r="CY21" s="126"/>
      <c r="CZ21" s="175"/>
      <c r="DA21" s="175"/>
      <c r="DB21" s="175"/>
      <c r="DC21" s="175"/>
      <c r="DD21" s="113"/>
      <c r="DE21" s="175"/>
      <c r="DF21" s="175"/>
      <c r="DG21" s="175"/>
      <c r="DH21" s="175"/>
      <c r="DI21" s="175"/>
      <c r="DJ21" s="159"/>
      <c r="DK21" s="126"/>
      <c r="DL21" s="175"/>
      <c r="DM21" s="175"/>
      <c r="DN21" s="175"/>
      <c r="DO21" s="175"/>
      <c r="DP21" s="113"/>
      <c r="DQ21" s="175"/>
      <c r="DR21" s="175"/>
      <c r="DS21" s="175"/>
      <c r="DT21" s="175"/>
      <c r="DU21" s="175"/>
      <c r="DV21" s="159"/>
      <c r="DW21" s="126"/>
      <c r="DX21" s="175"/>
      <c r="DY21" s="175"/>
      <c r="DZ21" s="175"/>
      <c r="EA21" s="175"/>
      <c r="EB21" s="113"/>
      <c r="EC21" s="126"/>
      <c r="ED21" s="175"/>
      <c r="EE21" s="175"/>
      <c r="EF21" s="175"/>
      <c r="EG21" s="175"/>
      <c r="EH21" s="113"/>
      <c r="EI21" s="126"/>
      <c r="EJ21" s="175"/>
      <c r="EK21" s="175"/>
      <c r="EL21" s="175"/>
      <c r="EM21" s="175"/>
      <c r="EN21" s="113"/>
      <c r="EO21" s="126"/>
      <c r="EP21" s="175"/>
      <c r="EQ21" s="175"/>
      <c r="ER21" s="175"/>
      <c r="ES21" s="175"/>
      <c r="ET21" s="113"/>
      <c r="EU21" s="159"/>
      <c r="EV21" s="159"/>
      <c r="EW21" s="159"/>
      <c r="EX21" s="159"/>
      <c r="EY21" s="159"/>
      <c r="EZ21" s="159"/>
      <c r="FA21" s="171">
        <f t="shared" si="13"/>
        <v>71</v>
      </c>
      <c r="FB21" s="100">
        <f t="shared" si="5"/>
        <v>590</v>
      </c>
      <c r="FC21" s="227">
        <f t="shared" si="6"/>
        <v>148</v>
      </c>
      <c r="FD21" s="100">
        <f t="shared" si="7"/>
        <v>148</v>
      </c>
      <c r="FE21" s="141">
        <f t="shared" si="14"/>
        <v>45</v>
      </c>
      <c r="FF21" s="138">
        <f>SUM(FA21+FB21)</f>
        <v>661</v>
      </c>
    </row>
    <row r="22" spans="1:166" ht="12" customHeight="1" x14ac:dyDescent="0.2">
      <c r="A22" s="42" t="s">
        <v>32</v>
      </c>
      <c r="B22" s="46">
        <v>0</v>
      </c>
      <c r="C22" s="7">
        <v>81</v>
      </c>
      <c r="D22" s="4">
        <f t="shared" si="8"/>
        <v>9</v>
      </c>
      <c r="E22" s="7">
        <v>15</v>
      </c>
      <c r="F22" s="44">
        <f t="shared" si="2"/>
        <v>81</v>
      </c>
      <c r="G22" s="10">
        <v>0</v>
      </c>
      <c r="H22" s="7">
        <v>133</v>
      </c>
      <c r="I22" s="6">
        <f t="shared" si="9"/>
        <v>10</v>
      </c>
      <c r="J22" s="7">
        <v>26</v>
      </c>
      <c r="K22" s="53">
        <f t="shared" si="3"/>
        <v>133</v>
      </c>
      <c r="L22" s="187">
        <v>0</v>
      </c>
      <c r="M22" s="7">
        <v>45</v>
      </c>
      <c r="N22" s="6">
        <f t="shared" si="10"/>
        <v>8</v>
      </c>
      <c r="O22" s="7">
        <v>2</v>
      </c>
      <c r="P22" s="187">
        <f t="shared" si="4"/>
        <v>45</v>
      </c>
      <c r="Q22" s="8">
        <v>0</v>
      </c>
      <c r="R22" s="7">
        <v>4</v>
      </c>
      <c r="S22" s="6">
        <f t="shared" si="11"/>
        <v>4</v>
      </c>
      <c r="T22" s="7">
        <v>0</v>
      </c>
      <c r="U22" s="57">
        <f t="shared" si="12"/>
        <v>4</v>
      </c>
      <c r="V22" s="124">
        <v>110</v>
      </c>
      <c r="W22" s="102">
        <v>148</v>
      </c>
      <c r="X22" s="100">
        <f t="shared" si="15"/>
        <v>26</v>
      </c>
      <c r="Y22" s="102">
        <v>0</v>
      </c>
      <c r="Z22" s="113">
        <f>SUM(V22+W22)</f>
        <v>258</v>
      </c>
      <c r="AA22" s="159">
        <v>30</v>
      </c>
      <c r="AB22" s="102">
        <v>15</v>
      </c>
      <c r="AC22" s="100">
        <f t="shared" si="16"/>
        <v>6</v>
      </c>
      <c r="AD22" s="102">
        <v>0</v>
      </c>
      <c r="AE22" s="159">
        <f>SUM(AA22+AB22)</f>
        <v>45</v>
      </c>
      <c r="AF22" s="124">
        <v>60</v>
      </c>
      <c r="AG22" s="102">
        <v>12</v>
      </c>
      <c r="AH22" s="100">
        <f>SUM(AJ21-AG22-AI21)</f>
        <v>6</v>
      </c>
      <c r="AI22" s="102">
        <v>0</v>
      </c>
      <c r="AJ22" s="113">
        <f>SUM(AF22+AG22)</f>
        <v>72</v>
      </c>
      <c r="AK22" s="159">
        <v>30</v>
      </c>
      <c r="AL22" s="102">
        <v>23</v>
      </c>
      <c r="AM22" s="100">
        <f>SUM(AO21-AL22-AN21)</f>
        <v>6</v>
      </c>
      <c r="AN22" s="102">
        <v>0</v>
      </c>
      <c r="AO22" s="159">
        <f>SUM(AK22+AL22)</f>
        <v>53</v>
      </c>
      <c r="AP22" s="124">
        <v>95</v>
      </c>
      <c r="AQ22" s="102">
        <v>72</v>
      </c>
      <c r="AR22" s="100">
        <f>SUM(AT21-AQ22-AS21)</f>
        <v>8</v>
      </c>
      <c r="AS22" s="102">
        <v>0</v>
      </c>
      <c r="AT22" s="113">
        <f>SUM(AP22+AQ22)</f>
        <v>167</v>
      </c>
      <c r="AU22" s="175"/>
      <c r="AV22" s="103"/>
      <c r="AW22" s="100"/>
      <c r="AX22" s="102"/>
      <c r="AY22" s="159"/>
      <c r="AZ22" s="126"/>
      <c r="BA22" s="103"/>
      <c r="BB22" s="100"/>
      <c r="BC22" s="102"/>
      <c r="BD22" s="113"/>
      <c r="BE22" s="175"/>
      <c r="BF22" s="102"/>
      <c r="BG22" s="100"/>
      <c r="BH22" s="102"/>
      <c r="BI22" s="159"/>
      <c r="BJ22" s="126"/>
      <c r="BK22" s="102"/>
      <c r="BL22" s="100"/>
      <c r="BM22" s="102"/>
      <c r="BN22" s="113"/>
      <c r="BO22" s="175"/>
      <c r="BP22" s="102"/>
      <c r="BQ22" s="102"/>
      <c r="BR22" s="102"/>
      <c r="BS22" s="102"/>
      <c r="BT22" s="165"/>
      <c r="BU22" s="126"/>
      <c r="BV22" s="175"/>
      <c r="BW22" s="175"/>
      <c r="BX22" s="175"/>
      <c r="BY22" s="175"/>
      <c r="BZ22" s="113"/>
      <c r="CA22" s="175"/>
      <c r="CB22" s="175"/>
      <c r="CC22" s="175"/>
      <c r="CD22" s="175"/>
      <c r="CE22" s="175"/>
      <c r="CF22" s="159"/>
      <c r="CG22" s="126"/>
      <c r="CH22" s="175"/>
      <c r="CI22" s="175"/>
      <c r="CJ22" s="175"/>
      <c r="CK22" s="175"/>
      <c r="CL22" s="113"/>
      <c r="CM22" s="175"/>
      <c r="CN22" s="175"/>
      <c r="CO22" s="175"/>
      <c r="CP22" s="175"/>
      <c r="CQ22" s="175"/>
      <c r="CR22" s="159"/>
      <c r="CS22" s="126"/>
      <c r="CT22" s="175"/>
      <c r="CU22" s="175"/>
      <c r="CV22" s="175"/>
      <c r="CW22" s="175"/>
      <c r="CX22" s="113"/>
      <c r="CY22" s="126"/>
      <c r="CZ22" s="175"/>
      <c r="DA22" s="175"/>
      <c r="DB22" s="175"/>
      <c r="DC22" s="175"/>
      <c r="DD22" s="113"/>
      <c r="DE22" s="175"/>
      <c r="DF22" s="175"/>
      <c r="DG22" s="175"/>
      <c r="DH22" s="175"/>
      <c r="DI22" s="175"/>
      <c r="DJ22" s="159"/>
      <c r="DK22" s="126"/>
      <c r="DL22" s="175"/>
      <c r="DM22" s="175"/>
      <c r="DN22" s="175"/>
      <c r="DO22" s="175"/>
      <c r="DP22" s="113"/>
      <c r="DQ22" s="175"/>
      <c r="DR22" s="175"/>
      <c r="DS22" s="175"/>
      <c r="DT22" s="175"/>
      <c r="DU22" s="175"/>
      <c r="DV22" s="159"/>
      <c r="DW22" s="126"/>
      <c r="DX22" s="175"/>
      <c r="DY22" s="175"/>
      <c r="DZ22" s="175"/>
      <c r="EA22" s="175"/>
      <c r="EB22" s="113"/>
      <c r="EC22" s="126"/>
      <c r="ED22" s="175"/>
      <c r="EE22" s="175"/>
      <c r="EF22" s="175"/>
      <c r="EG22" s="175"/>
      <c r="EH22" s="113"/>
      <c r="EI22" s="126"/>
      <c r="EJ22" s="175"/>
      <c r="EK22" s="175"/>
      <c r="EL22" s="175"/>
      <c r="EM22" s="175"/>
      <c r="EN22" s="113"/>
      <c r="EO22" s="126"/>
      <c r="EP22" s="175"/>
      <c r="EQ22" s="175"/>
      <c r="ER22" s="175"/>
      <c r="ES22" s="175"/>
      <c r="ET22" s="113"/>
      <c r="EU22" s="159"/>
      <c r="EV22" s="159"/>
      <c r="EW22" s="159"/>
      <c r="EX22" s="159"/>
      <c r="EY22" s="159"/>
      <c r="EZ22" s="159"/>
      <c r="FA22" s="171">
        <f t="shared" si="13"/>
        <v>325</v>
      </c>
      <c r="FB22" s="100">
        <f t="shared" si="5"/>
        <v>533</v>
      </c>
      <c r="FC22" s="227">
        <f t="shared" si="6"/>
        <v>83</v>
      </c>
      <c r="FD22" s="100">
        <f t="shared" si="7"/>
        <v>83</v>
      </c>
      <c r="FE22" s="141">
        <f t="shared" si="14"/>
        <v>43</v>
      </c>
      <c r="FF22" s="138">
        <f>SUM(FA22+FB22)</f>
        <v>858</v>
      </c>
    </row>
    <row r="23" spans="1:166" ht="12" customHeight="1" x14ac:dyDescent="0.2">
      <c r="A23" s="42" t="s">
        <v>33</v>
      </c>
      <c r="B23" s="46">
        <v>0</v>
      </c>
      <c r="C23" s="7">
        <v>62</v>
      </c>
      <c r="D23" s="4">
        <f t="shared" ref="D23:D30" si="17">SUM(F22-C23-E22)</f>
        <v>4</v>
      </c>
      <c r="E23" s="7">
        <v>6</v>
      </c>
      <c r="F23" s="44">
        <f t="shared" ref="F23:F29" si="18">SUM(B23+C23)</f>
        <v>62</v>
      </c>
      <c r="G23" s="10">
        <v>0</v>
      </c>
      <c r="H23" s="7">
        <v>91</v>
      </c>
      <c r="I23" s="6">
        <f t="shared" ref="I23:I28" si="19">SUM(K22-H23-J22)</f>
        <v>16</v>
      </c>
      <c r="J23" s="7">
        <v>30</v>
      </c>
      <c r="K23" s="53">
        <f t="shared" ref="K23:K29" si="20">SUM(G23+H23)</f>
        <v>91</v>
      </c>
      <c r="L23" s="187">
        <v>0</v>
      </c>
      <c r="M23" s="7">
        <v>41</v>
      </c>
      <c r="N23" s="6">
        <f t="shared" ref="N23:N29" si="21">SUM(P22-M23-O22)</f>
        <v>2</v>
      </c>
      <c r="O23" s="7">
        <v>7</v>
      </c>
      <c r="P23" s="187">
        <f t="shared" ref="P23:P29" si="22">SUM(L23+M23)</f>
        <v>41</v>
      </c>
      <c r="Q23" s="8">
        <v>0</v>
      </c>
      <c r="R23" s="7">
        <v>1</v>
      </c>
      <c r="S23" s="6">
        <f>SUM(U22-R23-T22)</f>
        <v>3</v>
      </c>
      <c r="T23" s="7">
        <v>0</v>
      </c>
      <c r="U23" s="57">
        <f>SUM(Q23+R23)</f>
        <v>1</v>
      </c>
      <c r="V23" s="124">
        <v>27</v>
      </c>
      <c r="W23" s="102">
        <v>214</v>
      </c>
      <c r="X23" s="100">
        <f t="shared" si="15"/>
        <v>44</v>
      </c>
      <c r="Y23" s="102">
        <v>0</v>
      </c>
      <c r="Z23" s="113">
        <f t="shared" ref="Z23:Z34" si="23">SUM(V23+W23)</f>
        <v>241</v>
      </c>
      <c r="AA23" s="159">
        <v>0</v>
      </c>
      <c r="AB23" s="102">
        <v>25</v>
      </c>
      <c r="AC23" s="100">
        <f t="shared" si="16"/>
        <v>20</v>
      </c>
      <c r="AD23" s="102">
        <v>0</v>
      </c>
      <c r="AE23" s="159">
        <f t="shared" ref="AE23:AE33" si="24">SUM(AA23+AB23)</f>
        <v>25</v>
      </c>
      <c r="AF23" s="124">
        <v>11</v>
      </c>
      <c r="AG23" s="102">
        <v>60</v>
      </c>
      <c r="AH23" s="100">
        <f>SUM(AJ22-AG23-AI22)</f>
        <v>12</v>
      </c>
      <c r="AI23" s="102">
        <v>0</v>
      </c>
      <c r="AJ23" s="113">
        <f t="shared" ref="AJ23:AJ33" si="25">SUM(AF23+AG23)</f>
        <v>71</v>
      </c>
      <c r="AK23" s="159">
        <v>0</v>
      </c>
      <c r="AL23" s="102">
        <v>41</v>
      </c>
      <c r="AM23" s="100">
        <f>SUM(AO22-AL23-AN22)</f>
        <v>12</v>
      </c>
      <c r="AN23" s="102">
        <v>0</v>
      </c>
      <c r="AO23" s="159">
        <f t="shared" ref="AO23:AO33" si="26">SUM(AK23+AL23)</f>
        <v>41</v>
      </c>
      <c r="AP23" s="124">
        <v>36</v>
      </c>
      <c r="AQ23" s="102">
        <v>143</v>
      </c>
      <c r="AR23" s="100">
        <f>SUM(AT22-AQ23-AS22)</f>
        <v>24</v>
      </c>
      <c r="AS23" s="102">
        <v>0</v>
      </c>
      <c r="AT23" s="113">
        <f t="shared" ref="AT23:AT33" si="27">SUM(AP23+AQ23)</f>
        <v>179</v>
      </c>
      <c r="AU23" s="175"/>
      <c r="AV23" s="103"/>
      <c r="AW23" s="100"/>
      <c r="AX23" s="102"/>
      <c r="AY23" s="159"/>
      <c r="AZ23" s="126"/>
      <c r="BA23" s="103"/>
      <c r="BB23" s="100"/>
      <c r="BC23" s="102"/>
      <c r="BD23" s="113"/>
      <c r="BE23" s="175"/>
      <c r="BF23" s="102"/>
      <c r="BG23" s="100"/>
      <c r="BH23" s="102"/>
      <c r="BI23" s="159"/>
      <c r="BJ23" s="126"/>
      <c r="BK23" s="102"/>
      <c r="BL23" s="100"/>
      <c r="BM23" s="102"/>
      <c r="BN23" s="113"/>
      <c r="BO23" s="175"/>
      <c r="BP23" s="102"/>
      <c r="BQ23" s="102"/>
      <c r="BR23" s="102"/>
      <c r="BS23" s="102"/>
      <c r="BT23" s="165"/>
      <c r="BU23" s="126"/>
      <c r="BV23" s="175"/>
      <c r="BW23" s="175"/>
      <c r="BX23" s="175"/>
      <c r="BY23" s="175"/>
      <c r="BZ23" s="113"/>
      <c r="CA23" s="175"/>
      <c r="CB23" s="175"/>
      <c r="CC23" s="175"/>
      <c r="CD23" s="175"/>
      <c r="CE23" s="175"/>
      <c r="CF23" s="159"/>
      <c r="CG23" s="126"/>
      <c r="CH23" s="175"/>
      <c r="CI23" s="175"/>
      <c r="CJ23" s="175"/>
      <c r="CK23" s="175"/>
      <c r="CL23" s="113"/>
      <c r="CM23" s="175"/>
      <c r="CN23" s="175"/>
      <c r="CO23" s="175"/>
      <c r="CP23" s="175"/>
      <c r="CQ23" s="175"/>
      <c r="CR23" s="159"/>
      <c r="CS23" s="126"/>
      <c r="CT23" s="175"/>
      <c r="CU23" s="175"/>
      <c r="CV23" s="175"/>
      <c r="CW23" s="175"/>
      <c r="CX23" s="113"/>
      <c r="CY23" s="126"/>
      <c r="CZ23" s="175"/>
      <c r="DA23" s="175"/>
      <c r="DB23" s="175"/>
      <c r="DC23" s="175"/>
      <c r="DD23" s="113"/>
      <c r="DE23" s="175"/>
      <c r="DF23" s="175"/>
      <c r="DG23" s="175"/>
      <c r="DH23" s="175"/>
      <c r="DI23" s="175"/>
      <c r="DJ23" s="159"/>
      <c r="DK23" s="126"/>
      <c r="DL23" s="175"/>
      <c r="DM23" s="175"/>
      <c r="DN23" s="175"/>
      <c r="DO23" s="175"/>
      <c r="DP23" s="113"/>
      <c r="DQ23" s="175"/>
      <c r="DR23" s="175"/>
      <c r="DS23" s="175"/>
      <c r="DT23" s="175"/>
      <c r="DU23" s="175"/>
      <c r="DV23" s="159"/>
      <c r="DW23" s="126"/>
      <c r="DX23" s="175"/>
      <c r="DY23" s="175"/>
      <c r="DZ23" s="175"/>
      <c r="EA23" s="175"/>
      <c r="EB23" s="113"/>
      <c r="EC23" s="126"/>
      <c r="ED23" s="175"/>
      <c r="EE23" s="175"/>
      <c r="EF23" s="175"/>
      <c r="EG23" s="175"/>
      <c r="EH23" s="113"/>
      <c r="EI23" s="126"/>
      <c r="EJ23" s="175"/>
      <c r="EK23" s="175"/>
      <c r="EL23" s="175"/>
      <c r="EM23" s="175"/>
      <c r="EN23" s="113"/>
      <c r="EO23" s="126"/>
      <c r="EP23" s="175"/>
      <c r="EQ23" s="175"/>
      <c r="ER23" s="175"/>
      <c r="ES23" s="175"/>
      <c r="ET23" s="113"/>
      <c r="EU23" s="159"/>
      <c r="EV23" s="159"/>
      <c r="EW23" s="159"/>
      <c r="EX23" s="159"/>
      <c r="EY23" s="159"/>
      <c r="EZ23" s="159"/>
      <c r="FA23" s="171">
        <f t="shared" si="13"/>
        <v>74</v>
      </c>
      <c r="FB23" s="100">
        <f t="shared" si="5"/>
        <v>678</v>
      </c>
      <c r="FC23" s="227">
        <f t="shared" si="6"/>
        <v>137</v>
      </c>
      <c r="FD23" s="100">
        <f>SUM(FF22-FB23-FE22)</f>
        <v>137</v>
      </c>
      <c r="FE23" s="141">
        <f t="shared" si="14"/>
        <v>43</v>
      </c>
      <c r="FF23" s="138">
        <f t="shared" ref="FF23:FF33" si="28">SUM(FA23+FB23)</f>
        <v>752</v>
      </c>
    </row>
    <row r="24" spans="1:166" ht="12" customHeight="1" x14ac:dyDescent="0.2">
      <c r="A24" s="42" t="s">
        <v>34</v>
      </c>
      <c r="B24" s="46">
        <v>0</v>
      </c>
      <c r="C24" s="7">
        <v>50</v>
      </c>
      <c r="D24" s="4">
        <f t="shared" si="17"/>
        <v>6</v>
      </c>
      <c r="E24" s="7">
        <v>12</v>
      </c>
      <c r="F24" s="44">
        <f t="shared" si="18"/>
        <v>50</v>
      </c>
      <c r="G24" s="10">
        <v>0</v>
      </c>
      <c r="H24" s="7">
        <v>66</v>
      </c>
      <c r="I24" s="6">
        <f t="shared" si="19"/>
        <v>-5</v>
      </c>
      <c r="J24" s="7">
        <v>19</v>
      </c>
      <c r="K24" s="53">
        <f t="shared" si="20"/>
        <v>66</v>
      </c>
      <c r="L24" s="187">
        <v>0</v>
      </c>
      <c r="M24" s="7">
        <v>36</v>
      </c>
      <c r="N24" s="6">
        <f t="shared" si="21"/>
        <v>-2</v>
      </c>
      <c r="O24" s="7">
        <v>5</v>
      </c>
      <c r="P24" s="187">
        <f t="shared" si="22"/>
        <v>36</v>
      </c>
      <c r="Q24" s="8">
        <v>0</v>
      </c>
      <c r="R24" s="7">
        <v>0</v>
      </c>
      <c r="S24" s="6">
        <f>SUM(U23-R24-T23)</f>
        <v>1</v>
      </c>
      <c r="T24" s="7">
        <v>1</v>
      </c>
      <c r="U24" s="44">
        <v>0</v>
      </c>
      <c r="V24" s="124">
        <v>120</v>
      </c>
      <c r="W24" s="102">
        <v>207</v>
      </c>
      <c r="X24" s="100">
        <f t="shared" si="15"/>
        <v>34</v>
      </c>
      <c r="Y24" s="102">
        <v>0</v>
      </c>
      <c r="Z24" s="113">
        <f t="shared" si="23"/>
        <v>327</v>
      </c>
      <c r="AA24" s="159">
        <v>24</v>
      </c>
      <c r="AB24" s="102">
        <v>18</v>
      </c>
      <c r="AC24" s="100">
        <f t="shared" si="16"/>
        <v>7</v>
      </c>
      <c r="AD24" s="102">
        <v>0</v>
      </c>
      <c r="AE24" s="159">
        <f t="shared" si="24"/>
        <v>42</v>
      </c>
      <c r="AF24" s="124">
        <v>81</v>
      </c>
      <c r="AG24" s="102">
        <v>55</v>
      </c>
      <c r="AH24" s="100">
        <f>SUM(AJ23-AG24-AI23)</f>
        <v>16</v>
      </c>
      <c r="AI24" s="102">
        <v>0</v>
      </c>
      <c r="AJ24" s="113">
        <f t="shared" si="25"/>
        <v>136</v>
      </c>
      <c r="AK24" s="159">
        <v>40</v>
      </c>
      <c r="AL24" s="102">
        <v>37</v>
      </c>
      <c r="AM24" s="100">
        <f>SUM(AO23-AL24-AN23)</f>
        <v>4</v>
      </c>
      <c r="AN24" s="102">
        <v>0</v>
      </c>
      <c r="AO24" s="159">
        <f t="shared" si="26"/>
        <v>77</v>
      </c>
      <c r="AP24" s="124">
        <v>148</v>
      </c>
      <c r="AQ24" s="102">
        <v>155</v>
      </c>
      <c r="AR24" s="100">
        <f>SUM(AT23-AQ24-AS23)</f>
        <v>24</v>
      </c>
      <c r="AS24" s="102">
        <v>0</v>
      </c>
      <c r="AT24" s="113">
        <f t="shared" si="27"/>
        <v>303</v>
      </c>
      <c r="AU24" s="175"/>
      <c r="AV24" s="103"/>
      <c r="AW24" s="100"/>
      <c r="AX24" s="102"/>
      <c r="AY24" s="159"/>
      <c r="AZ24" s="126"/>
      <c r="BA24" s="103"/>
      <c r="BB24" s="100"/>
      <c r="BC24" s="102"/>
      <c r="BD24" s="113"/>
      <c r="BE24" s="175"/>
      <c r="BF24" s="102"/>
      <c r="BG24" s="100"/>
      <c r="BH24" s="102"/>
      <c r="BI24" s="159"/>
      <c r="BJ24" s="126"/>
      <c r="BK24" s="102"/>
      <c r="BL24" s="100"/>
      <c r="BM24" s="102"/>
      <c r="BN24" s="113"/>
      <c r="BO24" s="175"/>
      <c r="BP24" s="102"/>
      <c r="BQ24" s="102"/>
      <c r="BR24" s="102"/>
      <c r="BS24" s="102"/>
      <c r="BT24" s="165"/>
      <c r="BU24" s="126"/>
      <c r="BV24" s="175"/>
      <c r="BW24" s="175"/>
      <c r="BX24" s="175"/>
      <c r="BY24" s="175"/>
      <c r="BZ24" s="113"/>
      <c r="CA24" s="175"/>
      <c r="CB24" s="175"/>
      <c r="CC24" s="175"/>
      <c r="CD24" s="175"/>
      <c r="CE24" s="175"/>
      <c r="CF24" s="159"/>
      <c r="CG24" s="126"/>
      <c r="CH24" s="175"/>
      <c r="CI24" s="175"/>
      <c r="CJ24" s="175"/>
      <c r="CK24" s="175"/>
      <c r="CL24" s="113"/>
      <c r="CM24" s="175"/>
      <c r="CN24" s="175"/>
      <c r="CO24" s="175"/>
      <c r="CP24" s="175"/>
      <c r="CQ24" s="175"/>
      <c r="CR24" s="159"/>
      <c r="CS24" s="126"/>
      <c r="CT24" s="175"/>
      <c r="CU24" s="175"/>
      <c r="CV24" s="175"/>
      <c r="CW24" s="175"/>
      <c r="CX24" s="113"/>
      <c r="CY24" s="126"/>
      <c r="CZ24" s="175"/>
      <c r="DA24" s="175"/>
      <c r="DB24" s="175"/>
      <c r="DC24" s="175"/>
      <c r="DD24" s="113"/>
      <c r="DE24" s="175"/>
      <c r="DF24" s="175"/>
      <c r="DG24" s="175"/>
      <c r="DH24" s="175"/>
      <c r="DI24" s="175"/>
      <c r="DJ24" s="159"/>
      <c r="DK24" s="126"/>
      <c r="DL24" s="175"/>
      <c r="DM24" s="175"/>
      <c r="DN24" s="175"/>
      <c r="DO24" s="175"/>
      <c r="DP24" s="113"/>
      <c r="DQ24" s="175"/>
      <c r="DR24" s="175"/>
      <c r="DS24" s="175"/>
      <c r="DT24" s="175"/>
      <c r="DU24" s="175"/>
      <c r="DV24" s="159"/>
      <c r="DW24" s="126"/>
      <c r="DX24" s="175"/>
      <c r="DY24" s="175"/>
      <c r="DZ24" s="175"/>
      <c r="EA24" s="175"/>
      <c r="EB24" s="113"/>
      <c r="EC24" s="126"/>
      <c r="ED24" s="175"/>
      <c r="EE24" s="175"/>
      <c r="EF24" s="175"/>
      <c r="EG24" s="175"/>
      <c r="EH24" s="113"/>
      <c r="EI24" s="126"/>
      <c r="EJ24" s="175"/>
      <c r="EK24" s="175"/>
      <c r="EL24" s="175"/>
      <c r="EM24" s="175"/>
      <c r="EN24" s="113"/>
      <c r="EO24" s="126"/>
      <c r="EP24" s="175"/>
      <c r="EQ24" s="175"/>
      <c r="ER24" s="175"/>
      <c r="ES24" s="175"/>
      <c r="ET24" s="113"/>
      <c r="EU24" s="159"/>
      <c r="EV24" s="159"/>
      <c r="EW24" s="159"/>
      <c r="EX24" s="159"/>
      <c r="EY24" s="159"/>
      <c r="EZ24" s="159"/>
      <c r="FA24" s="171">
        <f t="shared" si="13"/>
        <v>413</v>
      </c>
      <c r="FB24" s="100">
        <f t="shared" si="5"/>
        <v>624</v>
      </c>
      <c r="FC24" s="227">
        <f t="shared" si="6"/>
        <v>85</v>
      </c>
      <c r="FD24" s="100">
        <f>SUM(FF23-FB24-FE23)</f>
        <v>85</v>
      </c>
      <c r="FE24" s="141">
        <f t="shared" si="14"/>
        <v>37</v>
      </c>
      <c r="FF24" s="138">
        <f t="shared" si="28"/>
        <v>1037</v>
      </c>
    </row>
    <row r="25" spans="1:166" ht="12" customHeight="1" x14ac:dyDescent="0.2">
      <c r="A25" s="42" t="s">
        <v>35</v>
      </c>
      <c r="B25" s="46">
        <v>0</v>
      </c>
      <c r="C25" s="7">
        <v>40</v>
      </c>
      <c r="D25" s="4">
        <f t="shared" si="17"/>
        <v>-2</v>
      </c>
      <c r="E25" s="7">
        <v>14</v>
      </c>
      <c r="F25" s="44">
        <f t="shared" si="18"/>
        <v>40</v>
      </c>
      <c r="G25" s="10">
        <v>0</v>
      </c>
      <c r="H25" s="7">
        <v>44</v>
      </c>
      <c r="I25" s="6">
        <f t="shared" si="19"/>
        <v>3</v>
      </c>
      <c r="J25" s="7">
        <v>17</v>
      </c>
      <c r="K25" s="53">
        <f t="shared" si="20"/>
        <v>44</v>
      </c>
      <c r="L25" s="187">
        <v>0</v>
      </c>
      <c r="M25" s="7">
        <v>27</v>
      </c>
      <c r="N25" s="6">
        <f t="shared" si="21"/>
        <v>4</v>
      </c>
      <c r="O25" s="7">
        <v>3</v>
      </c>
      <c r="P25" s="187">
        <f t="shared" si="22"/>
        <v>27</v>
      </c>
      <c r="Q25" s="8">
        <v>0</v>
      </c>
      <c r="R25" s="7">
        <v>0</v>
      </c>
      <c r="S25" s="6">
        <f>SUM(U24-R25-T24)</f>
        <v>-1</v>
      </c>
      <c r="T25" s="7">
        <v>0</v>
      </c>
      <c r="U25" s="44">
        <v>0</v>
      </c>
      <c r="V25" s="124">
        <v>20</v>
      </c>
      <c r="W25" s="102">
        <v>263</v>
      </c>
      <c r="X25" s="100">
        <f t="shared" ref="X25:X40" si="29">SUM(Z24-W25-Y24)</f>
        <v>64</v>
      </c>
      <c r="Y25" s="102">
        <v>0</v>
      </c>
      <c r="Z25" s="113">
        <f t="shared" si="23"/>
        <v>283</v>
      </c>
      <c r="AA25" s="159">
        <v>1</v>
      </c>
      <c r="AB25" s="102">
        <v>33</v>
      </c>
      <c r="AC25" s="100">
        <f t="shared" ref="AC25:AC40" si="30">SUM(AE24-AB25-AD24)</f>
        <v>9</v>
      </c>
      <c r="AD25" s="102">
        <v>0</v>
      </c>
      <c r="AE25" s="159">
        <f t="shared" si="24"/>
        <v>34</v>
      </c>
      <c r="AF25" s="124">
        <v>17</v>
      </c>
      <c r="AG25" s="102">
        <v>112</v>
      </c>
      <c r="AH25" s="100">
        <f t="shared" ref="AH25:AH40" si="31">SUM(AJ24-AG25-AI24)</f>
        <v>24</v>
      </c>
      <c r="AI25" s="102">
        <v>0</v>
      </c>
      <c r="AJ25" s="113">
        <f t="shared" si="25"/>
        <v>129</v>
      </c>
      <c r="AK25" s="159">
        <v>3</v>
      </c>
      <c r="AL25" s="102">
        <v>56</v>
      </c>
      <c r="AM25" s="100">
        <f t="shared" ref="AM25:AM40" si="32">SUM(AO24-AL25-AN24)</f>
        <v>21</v>
      </c>
      <c r="AN25" s="102">
        <v>0</v>
      </c>
      <c r="AO25" s="159">
        <f t="shared" si="26"/>
        <v>59</v>
      </c>
      <c r="AP25" s="124">
        <v>39</v>
      </c>
      <c r="AQ25" s="102">
        <v>243</v>
      </c>
      <c r="AR25" s="100">
        <f t="shared" ref="AR25:AR40" si="33">SUM(AT24-AQ25-AS24)</f>
        <v>60</v>
      </c>
      <c r="AS25" s="102">
        <v>0</v>
      </c>
      <c r="AT25" s="113">
        <f t="shared" si="27"/>
        <v>282</v>
      </c>
      <c r="AU25" s="175"/>
      <c r="AV25" s="103"/>
      <c r="AW25" s="100"/>
      <c r="AX25" s="102"/>
      <c r="AY25" s="159"/>
      <c r="AZ25" s="126"/>
      <c r="BA25" s="103"/>
      <c r="BB25" s="100"/>
      <c r="BC25" s="102"/>
      <c r="BD25" s="113"/>
      <c r="BE25" s="175"/>
      <c r="BF25" s="102"/>
      <c r="BG25" s="100"/>
      <c r="BH25" s="102"/>
      <c r="BI25" s="159"/>
      <c r="BJ25" s="126"/>
      <c r="BK25" s="102"/>
      <c r="BL25" s="100"/>
      <c r="BM25" s="102"/>
      <c r="BN25" s="113"/>
      <c r="BO25" s="175"/>
      <c r="BP25" s="102"/>
      <c r="BQ25" s="102"/>
      <c r="BR25" s="102"/>
      <c r="BS25" s="102"/>
      <c r="BT25" s="165"/>
      <c r="BU25" s="126"/>
      <c r="BV25" s="175"/>
      <c r="BW25" s="175"/>
      <c r="BX25" s="175"/>
      <c r="BY25" s="175"/>
      <c r="BZ25" s="113"/>
      <c r="CA25" s="175"/>
      <c r="CB25" s="175"/>
      <c r="CC25" s="175"/>
      <c r="CD25" s="175"/>
      <c r="CE25" s="175"/>
      <c r="CF25" s="159"/>
      <c r="CG25" s="126"/>
      <c r="CH25" s="175"/>
      <c r="CI25" s="175"/>
      <c r="CJ25" s="175"/>
      <c r="CK25" s="175"/>
      <c r="CL25" s="113"/>
      <c r="CM25" s="175"/>
      <c r="CN25" s="175"/>
      <c r="CO25" s="175"/>
      <c r="CP25" s="175"/>
      <c r="CQ25" s="175"/>
      <c r="CR25" s="159"/>
      <c r="CS25" s="126"/>
      <c r="CT25" s="175"/>
      <c r="CU25" s="175"/>
      <c r="CV25" s="175"/>
      <c r="CW25" s="175"/>
      <c r="CX25" s="113"/>
      <c r="CY25" s="126"/>
      <c r="CZ25" s="175"/>
      <c r="DA25" s="175"/>
      <c r="DB25" s="175"/>
      <c r="DC25" s="175"/>
      <c r="DD25" s="113"/>
      <c r="DE25" s="175"/>
      <c r="DF25" s="175"/>
      <c r="DG25" s="175"/>
      <c r="DH25" s="175"/>
      <c r="DI25" s="175"/>
      <c r="DJ25" s="159"/>
      <c r="DK25" s="126"/>
      <c r="DL25" s="175"/>
      <c r="DM25" s="175"/>
      <c r="DN25" s="175"/>
      <c r="DO25" s="175"/>
      <c r="DP25" s="113"/>
      <c r="DQ25" s="175"/>
      <c r="DR25" s="175"/>
      <c r="DS25" s="175"/>
      <c r="DT25" s="175"/>
      <c r="DU25" s="175"/>
      <c r="DV25" s="159"/>
      <c r="DW25" s="126"/>
      <c r="DX25" s="175"/>
      <c r="DY25" s="175"/>
      <c r="DZ25" s="175"/>
      <c r="EA25" s="175"/>
      <c r="EB25" s="113"/>
      <c r="EC25" s="126"/>
      <c r="ED25" s="175"/>
      <c r="EE25" s="175"/>
      <c r="EF25" s="175"/>
      <c r="EG25" s="175"/>
      <c r="EH25" s="113"/>
      <c r="EI25" s="126"/>
      <c r="EJ25" s="175"/>
      <c r="EK25" s="175"/>
      <c r="EL25" s="175"/>
      <c r="EM25" s="175"/>
      <c r="EN25" s="113"/>
      <c r="EO25" s="126"/>
      <c r="EP25" s="175"/>
      <c r="EQ25" s="175"/>
      <c r="ER25" s="175"/>
      <c r="ES25" s="175"/>
      <c r="ET25" s="113"/>
      <c r="EU25" s="159"/>
      <c r="EV25" s="159"/>
      <c r="EW25" s="159"/>
      <c r="EX25" s="159"/>
      <c r="EY25" s="159"/>
      <c r="EZ25" s="159"/>
      <c r="FA25" s="171">
        <f t="shared" si="13"/>
        <v>80</v>
      </c>
      <c r="FB25" s="100">
        <f t="shared" si="5"/>
        <v>818</v>
      </c>
      <c r="FC25" s="227">
        <f t="shared" si="6"/>
        <v>182</v>
      </c>
      <c r="FD25" s="100">
        <f t="shared" ref="FD25:FD40" si="34">SUM(FF24-FB25-FE24)</f>
        <v>182</v>
      </c>
      <c r="FE25" s="141">
        <f t="shared" si="14"/>
        <v>34</v>
      </c>
      <c r="FF25" s="138">
        <f t="shared" si="28"/>
        <v>898</v>
      </c>
    </row>
    <row r="26" spans="1:166" ht="12" customHeight="1" x14ac:dyDescent="0.2">
      <c r="A26" s="42" t="s">
        <v>36</v>
      </c>
      <c r="B26" s="46">
        <v>0</v>
      </c>
      <c r="C26" s="7">
        <v>25</v>
      </c>
      <c r="D26" s="4">
        <f t="shared" si="17"/>
        <v>1</v>
      </c>
      <c r="E26" s="7">
        <v>13</v>
      </c>
      <c r="F26" s="44">
        <f t="shared" si="18"/>
        <v>25</v>
      </c>
      <c r="G26" s="10">
        <v>0</v>
      </c>
      <c r="H26" s="7">
        <v>22</v>
      </c>
      <c r="I26" s="6">
        <f t="shared" si="19"/>
        <v>5</v>
      </c>
      <c r="J26" s="7">
        <v>6</v>
      </c>
      <c r="K26" s="53">
        <f t="shared" si="20"/>
        <v>22</v>
      </c>
      <c r="L26" s="187">
        <v>0</v>
      </c>
      <c r="M26" s="7">
        <v>22</v>
      </c>
      <c r="N26" s="6">
        <f t="shared" si="21"/>
        <v>2</v>
      </c>
      <c r="O26" s="7">
        <v>9</v>
      </c>
      <c r="P26" s="187">
        <f t="shared" si="22"/>
        <v>22</v>
      </c>
      <c r="Q26" s="8"/>
      <c r="R26" s="7"/>
      <c r="S26" s="6"/>
      <c r="T26" s="7"/>
      <c r="U26" s="44"/>
      <c r="V26" s="124">
        <v>69</v>
      </c>
      <c r="W26" s="102">
        <v>244</v>
      </c>
      <c r="X26" s="100">
        <f t="shared" si="29"/>
        <v>39</v>
      </c>
      <c r="Y26" s="102">
        <v>0</v>
      </c>
      <c r="Z26" s="113">
        <f t="shared" si="23"/>
        <v>313</v>
      </c>
      <c r="AA26" s="159">
        <v>26</v>
      </c>
      <c r="AB26" s="102">
        <v>29</v>
      </c>
      <c r="AC26" s="100">
        <f t="shared" si="30"/>
        <v>5</v>
      </c>
      <c r="AD26" s="102">
        <v>0</v>
      </c>
      <c r="AE26" s="159">
        <f t="shared" si="24"/>
        <v>55</v>
      </c>
      <c r="AF26" s="124">
        <v>49</v>
      </c>
      <c r="AG26" s="102">
        <v>118</v>
      </c>
      <c r="AH26" s="100">
        <f t="shared" si="31"/>
        <v>11</v>
      </c>
      <c r="AI26" s="102">
        <v>0</v>
      </c>
      <c r="AJ26" s="113">
        <f t="shared" si="25"/>
        <v>167</v>
      </c>
      <c r="AK26" s="159">
        <v>14</v>
      </c>
      <c r="AL26" s="102">
        <v>53</v>
      </c>
      <c r="AM26" s="100">
        <f t="shared" si="32"/>
        <v>6</v>
      </c>
      <c r="AN26" s="102">
        <v>0</v>
      </c>
      <c r="AO26" s="159">
        <f t="shared" si="26"/>
        <v>67</v>
      </c>
      <c r="AP26" s="124">
        <v>111</v>
      </c>
      <c r="AQ26" s="102">
        <v>260</v>
      </c>
      <c r="AR26" s="100">
        <f t="shared" si="33"/>
        <v>22</v>
      </c>
      <c r="AS26" s="102">
        <v>0</v>
      </c>
      <c r="AT26" s="113">
        <f t="shared" si="27"/>
        <v>371</v>
      </c>
      <c r="AU26" s="175"/>
      <c r="AV26" s="103"/>
      <c r="AW26" s="100"/>
      <c r="AX26" s="102"/>
      <c r="AY26" s="159"/>
      <c r="AZ26" s="126"/>
      <c r="BA26" s="103"/>
      <c r="BB26" s="100"/>
      <c r="BC26" s="102"/>
      <c r="BD26" s="113"/>
      <c r="BE26" s="175"/>
      <c r="BF26" s="102"/>
      <c r="BG26" s="100"/>
      <c r="BH26" s="102"/>
      <c r="BI26" s="159"/>
      <c r="BJ26" s="126"/>
      <c r="BK26" s="102"/>
      <c r="BL26" s="100"/>
      <c r="BM26" s="102"/>
      <c r="BN26" s="113"/>
      <c r="BO26" s="175"/>
      <c r="BP26" s="102"/>
      <c r="BQ26" s="102"/>
      <c r="BR26" s="102"/>
      <c r="BS26" s="102"/>
      <c r="BT26" s="165"/>
      <c r="BU26" s="126"/>
      <c r="BV26" s="175"/>
      <c r="BW26" s="175"/>
      <c r="BX26" s="175"/>
      <c r="BY26" s="175"/>
      <c r="BZ26" s="113"/>
      <c r="CA26" s="175"/>
      <c r="CB26" s="175"/>
      <c r="CC26" s="175"/>
      <c r="CD26" s="175"/>
      <c r="CE26" s="175"/>
      <c r="CF26" s="159"/>
      <c r="CG26" s="126"/>
      <c r="CH26" s="175"/>
      <c r="CI26" s="175"/>
      <c r="CJ26" s="175"/>
      <c r="CK26" s="175"/>
      <c r="CL26" s="113"/>
      <c r="CM26" s="175"/>
      <c r="CN26" s="175"/>
      <c r="CO26" s="175"/>
      <c r="CP26" s="175"/>
      <c r="CQ26" s="175"/>
      <c r="CR26" s="159"/>
      <c r="CS26" s="126"/>
      <c r="CT26" s="175"/>
      <c r="CU26" s="175"/>
      <c r="CV26" s="175"/>
      <c r="CW26" s="175"/>
      <c r="CX26" s="113"/>
      <c r="CY26" s="126"/>
      <c r="CZ26" s="175"/>
      <c r="DA26" s="175"/>
      <c r="DB26" s="175"/>
      <c r="DC26" s="175"/>
      <c r="DD26" s="113"/>
      <c r="DE26" s="175"/>
      <c r="DF26" s="175"/>
      <c r="DG26" s="175"/>
      <c r="DH26" s="175"/>
      <c r="DI26" s="175"/>
      <c r="DJ26" s="159"/>
      <c r="DK26" s="126"/>
      <c r="DL26" s="175"/>
      <c r="DM26" s="175"/>
      <c r="DN26" s="175"/>
      <c r="DO26" s="175"/>
      <c r="DP26" s="113"/>
      <c r="DQ26" s="175"/>
      <c r="DR26" s="175"/>
      <c r="DS26" s="175"/>
      <c r="DT26" s="175"/>
      <c r="DU26" s="175"/>
      <c r="DV26" s="159"/>
      <c r="DW26" s="126"/>
      <c r="DX26" s="175"/>
      <c r="DY26" s="175"/>
      <c r="DZ26" s="175"/>
      <c r="EA26" s="175"/>
      <c r="EB26" s="113"/>
      <c r="EC26" s="126"/>
      <c r="ED26" s="175"/>
      <c r="EE26" s="175"/>
      <c r="EF26" s="175"/>
      <c r="EG26" s="175"/>
      <c r="EH26" s="113"/>
      <c r="EI26" s="126"/>
      <c r="EJ26" s="175"/>
      <c r="EK26" s="175"/>
      <c r="EL26" s="175"/>
      <c r="EM26" s="175"/>
      <c r="EN26" s="113"/>
      <c r="EO26" s="126"/>
      <c r="EP26" s="175"/>
      <c r="EQ26" s="175"/>
      <c r="ER26" s="175"/>
      <c r="ES26" s="175"/>
      <c r="ET26" s="113"/>
      <c r="EU26" s="159"/>
      <c r="EV26" s="159"/>
      <c r="EW26" s="159"/>
      <c r="EX26" s="159"/>
      <c r="EY26" s="159"/>
      <c r="EZ26" s="159"/>
      <c r="FA26" s="171">
        <f t="shared" si="13"/>
        <v>269</v>
      </c>
      <c r="FB26" s="100">
        <f t="shared" si="5"/>
        <v>773</v>
      </c>
      <c r="FC26" s="100"/>
      <c r="FD26" s="100">
        <f t="shared" si="34"/>
        <v>91</v>
      </c>
      <c r="FE26" s="141">
        <f t="shared" si="14"/>
        <v>28</v>
      </c>
      <c r="FF26" s="138">
        <f t="shared" si="28"/>
        <v>1042</v>
      </c>
    </row>
    <row r="27" spans="1:166" ht="12" customHeight="1" x14ac:dyDescent="0.2">
      <c r="A27" s="42" t="s">
        <v>37</v>
      </c>
      <c r="B27" s="46">
        <v>0</v>
      </c>
      <c r="C27" s="7">
        <v>10</v>
      </c>
      <c r="D27" s="4">
        <f t="shared" si="17"/>
        <v>2</v>
      </c>
      <c r="E27" s="7">
        <v>3</v>
      </c>
      <c r="F27" s="44">
        <f t="shared" si="18"/>
        <v>10</v>
      </c>
      <c r="G27" s="10">
        <v>0</v>
      </c>
      <c r="H27" s="7">
        <v>11</v>
      </c>
      <c r="I27" s="6">
        <f t="shared" si="19"/>
        <v>5</v>
      </c>
      <c r="J27" s="7">
        <v>4</v>
      </c>
      <c r="K27" s="53">
        <f t="shared" si="20"/>
        <v>11</v>
      </c>
      <c r="L27" s="187">
        <v>0</v>
      </c>
      <c r="M27" s="7">
        <v>8</v>
      </c>
      <c r="N27" s="6">
        <f t="shared" si="21"/>
        <v>5</v>
      </c>
      <c r="O27" s="7">
        <v>11</v>
      </c>
      <c r="P27" s="187">
        <f t="shared" si="22"/>
        <v>8</v>
      </c>
      <c r="Q27" s="8"/>
      <c r="R27" s="7"/>
      <c r="S27" s="6"/>
      <c r="T27" s="7"/>
      <c r="U27" s="44"/>
      <c r="V27" s="124">
        <v>0</v>
      </c>
      <c r="W27" s="102">
        <v>265</v>
      </c>
      <c r="X27" s="100">
        <f t="shared" si="29"/>
        <v>48</v>
      </c>
      <c r="Y27" s="102">
        <v>12</v>
      </c>
      <c r="Z27" s="113">
        <f t="shared" si="23"/>
        <v>265</v>
      </c>
      <c r="AA27" s="159">
        <v>0</v>
      </c>
      <c r="AB27" s="102">
        <v>46</v>
      </c>
      <c r="AC27" s="100">
        <f t="shared" si="30"/>
        <v>9</v>
      </c>
      <c r="AD27" s="102">
        <v>0</v>
      </c>
      <c r="AE27" s="159">
        <f t="shared" si="24"/>
        <v>46</v>
      </c>
      <c r="AF27" s="124">
        <v>1</v>
      </c>
      <c r="AG27" s="102">
        <v>140</v>
      </c>
      <c r="AH27" s="100">
        <f t="shared" si="31"/>
        <v>27</v>
      </c>
      <c r="AI27" s="102">
        <v>1</v>
      </c>
      <c r="AJ27" s="113">
        <f t="shared" si="25"/>
        <v>141</v>
      </c>
      <c r="AK27" s="159">
        <v>1</v>
      </c>
      <c r="AL27" s="102">
        <v>65</v>
      </c>
      <c r="AM27" s="100">
        <f t="shared" si="32"/>
        <v>2</v>
      </c>
      <c r="AN27" s="102">
        <v>0</v>
      </c>
      <c r="AO27" s="159">
        <f t="shared" si="26"/>
        <v>66</v>
      </c>
      <c r="AP27" s="124">
        <v>0</v>
      </c>
      <c r="AQ27" s="102">
        <v>328</v>
      </c>
      <c r="AR27" s="100">
        <f t="shared" si="33"/>
        <v>43</v>
      </c>
      <c r="AS27" s="102">
        <v>1</v>
      </c>
      <c r="AT27" s="113">
        <f t="shared" si="27"/>
        <v>328</v>
      </c>
      <c r="AU27" s="175"/>
      <c r="AV27" s="103"/>
      <c r="AW27" s="100"/>
      <c r="AX27" s="102"/>
      <c r="AY27" s="159"/>
      <c r="AZ27" s="126"/>
      <c r="BA27" s="103"/>
      <c r="BB27" s="100"/>
      <c r="BC27" s="102"/>
      <c r="BD27" s="113"/>
      <c r="BE27" s="175"/>
      <c r="BF27" s="102"/>
      <c r="BG27" s="100"/>
      <c r="BH27" s="102"/>
      <c r="BI27" s="159"/>
      <c r="BJ27" s="126"/>
      <c r="BK27" s="102"/>
      <c r="BL27" s="100"/>
      <c r="BM27" s="102"/>
      <c r="BN27" s="113"/>
      <c r="BO27" s="175"/>
      <c r="BP27" s="102"/>
      <c r="BQ27" s="102"/>
      <c r="BR27" s="102"/>
      <c r="BS27" s="102"/>
      <c r="BT27" s="165"/>
      <c r="BU27" s="126"/>
      <c r="BV27" s="175"/>
      <c r="BW27" s="175"/>
      <c r="BX27" s="175"/>
      <c r="BY27" s="175"/>
      <c r="BZ27" s="113"/>
      <c r="CA27" s="175"/>
      <c r="CB27" s="175"/>
      <c r="CC27" s="175"/>
      <c r="CD27" s="175"/>
      <c r="CE27" s="175"/>
      <c r="CF27" s="159"/>
      <c r="CG27" s="126"/>
      <c r="CH27" s="175"/>
      <c r="CI27" s="175"/>
      <c r="CJ27" s="175"/>
      <c r="CK27" s="175"/>
      <c r="CL27" s="113"/>
      <c r="CM27" s="175"/>
      <c r="CN27" s="175"/>
      <c r="CO27" s="175"/>
      <c r="CP27" s="175"/>
      <c r="CQ27" s="175"/>
      <c r="CR27" s="159"/>
      <c r="CS27" s="126"/>
      <c r="CT27" s="175"/>
      <c r="CU27" s="175"/>
      <c r="CV27" s="175"/>
      <c r="CW27" s="175"/>
      <c r="CX27" s="113"/>
      <c r="CY27" s="126"/>
      <c r="CZ27" s="175"/>
      <c r="DA27" s="175"/>
      <c r="DB27" s="175"/>
      <c r="DC27" s="175"/>
      <c r="DD27" s="113"/>
      <c r="DE27" s="175"/>
      <c r="DF27" s="175"/>
      <c r="DG27" s="175"/>
      <c r="DH27" s="175"/>
      <c r="DI27" s="175"/>
      <c r="DJ27" s="159"/>
      <c r="DK27" s="126"/>
      <c r="DL27" s="175"/>
      <c r="DM27" s="175"/>
      <c r="DN27" s="175"/>
      <c r="DO27" s="175"/>
      <c r="DP27" s="113"/>
      <c r="DQ27" s="175"/>
      <c r="DR27" s="175"/>
      <c r="DS27" s="175"/>
      <c r="DT27" s="175"/>
      <c r="DU27" s="175"/>
      <c r="DV27" s="159"/>
      <c r="DW27" s="126"/>
      <c r="DX27" s="175"/>
      <c r="DY27" s="175"/>
      <c r="DZ27" s="175"/>
      <c r="EA27" s="175"/>
      <c r="EB27" s="113"/>
      <c r="EC27" s="126"/>
      <c r="ED27" s="175"/>
      <c r="EE27" s="175"/>
      <c r="EF27" s="175"/>
      <c r="EG27" s="175"/>
      <c r="EH27" s="113"/>
      <c r="EI27" s="126"/>
      <c r="EJ27" s="175"/>
      <c r="EK27" s="175"/>
      <c r="EL27" s="175"/>
      <c r="EM27" s="175"/>
      <c r="EN27" s="113"/>
      <c r="EO27" s="126"/>
      <c r="EP27" s="175"/>
      <c r="EQ27" s="175"/>
      <c r="ER27" s="175"/>
      <c r="ES27" s="175"/>
      <c r="ET27" s="113"/>
      <c r="EU27" s="159"/>
      <c r="EV27" s="159"/>
      <c r="EW27" s="159"/>
      <c r="EX27" s="159"/>
      <c r="EY27" s="159"/>
      <c r="EZ27" s="159"/>
      <c r="FA27" s="171">
        <f t="shared" si="13"/>
        <v>2</v>
      </c>
      <c r="FB27" s="100">
        <f t="shared" si="5"/>
        <v>873</v>
      </c>
      <c r="FC27" s="100"/>
      <c r="FD27" s="100">
        <f t="shared" si="34"/>
        <v>141</v>
      </c>
      <c r="FE27" s="141">
        <f t="shared" si="14"/>
        <v>32</v>
      </c>
      <c r="FF27" s="138">
        <f t="shared" si="28"/>
        <v>875</v>
      </c>
    </row>
    <row r="28" spans="1:166" ht="12" customHeight="1" x14ac:dyDescent="0.2">
      <c r="A28" s="42" t="s">
        <v>38</v>
      </c>
      <c r="B28" s="45">
        <v>0</v>
      </c>
      <c r="C28" s="7">
        <v>6</v>
      </c>
      <c r="D28" s="4">
        <f t="shared" si="17"/>
        <v>1</v>
      </c>
      <c r="E28" s="7">
        <v>2</v>
      </c>
      <c r="F28" s="44">
        <f t="shared" si="18"/>
        <v>6</v>
      </c>
      <c r="G28" s="8">
        <v>0</v>
      </c>
      <c r="H28" s="7">
        <v>6</v>
      </c>
      <c r="I28" s="6">
        <f t="shared" si="19"/>
        <v>1</v>
      </c>
      <c r="J28" s="7">
        <v>3</v>
      </c>
      <c r="K28" s="53">
        <f t="shared" si="20"/>
        <v>6</v>
      </c>
      <c r="L28" s="187">
        <v>0</v>
      </c>
      <c r="M28" s="7">
        <v>0</v>
      </c>
      <c r="N28" s="6">
        <f t="shared" si="21"/>
        <v>-3</v>
      </c>
      <c r="O28" s="7">
        <v>0</v>
      </c>
      <c r="P28" s="187">
        <f t="shared" si="22"/>
        <v>0</v>
      </c>
      <c r="Q28" s="8"/>
      <c r="R28" s="7"/>
      <c r="S28" s="6"/>
      <c r="T28" s="7"/>
      <c r="U28" s="44"/>
      <c r="V28" s="124">
        <v>64</v>
      </c>
      <c r="W28" s="102">
        <v>224</v>
      </c>
      <c r="X28" s="100">
        <f t="shared" si="29"/>
        <v>29</v>
      </c>
      <c r="Y28" s="102">
        <v>19</v>
      </c>
      <c r="Z28" s="113">
        <f t="shared" si="23"/>
        <v>288</v>
      </c>
      <c r="AA28" s="159">
        <v>38</v>
      </c>
      <c r="AB28" s="102">
        <v>48</v>
      </c>
      <c r="AC28" s="105">
        <f t="shared" si="30"/>
        <v>-2</v>
      </c>
      <c r="AD28" s="102">
        <v>1</v>
      </c>
      <c r="AE28" s="159">
        <f t="shared" si="24"/>
        <v>86</v>
      </c>
      <c r="AF28" s="124">
        <v>59</v>
      </c>
      <c r="AG28" s="102">
        <v>128</v>
      </c>
      <c r="AH28" s="100">
        <f t="shared" si="31"/>
        <v>12</v>
      </c>
      <c r="AI28" s="102">
        <v>6</v>
      </c>
      <c r="AJ28" s="113">
        <f t="shared" si="25"/>
        <v>187</v>
      </c>
      <c r="AK28" s="159">
        <v>45</v>
      </c>
      <c r="AL28" s="102">
        <v>62</v>
      </c>
      <c r="AM28" s="100">
        <f t="shared" si="32"/>
        <v>4</v>
      </c>
      <c r="AN28" s="102">
        <v>13</v>
      </c>
      <c r="AO28" s="159">
        <f t="shared" si="26"/>
        <v>107</v>
      </c>
      <c r="AP28" s="124">
        <v>106</v>
      </c>
      <c r="AQ28" s="102">
        <v>306</v>
      </c>
      <c r="AR28" s="100">
        <f t="shared" si="33"/>
        <v>21</v>
      </c>
      <c r="AS28" s="102">
        <v>20</v>
      </c>
      <c r="AT28" s="113">
        <f t="shared" si="27"/>
        <v>412</v>
      </c>
      <c r="AU28" s="175"/>
      <c r="AV28" s="103"/>
      <c r="AW28" s="100"/>
      <c r="AX28" s="102"/>
      <c r="AY28" s="159"/>
      <c r="AZ28" s="126"/>
      <c r="BA28" s="103"/>
      <c r="BB28" s="100"/>
      <c r="BC28" s="102"/>
      <c r="BD28" s="113"/>
      <c r="BE28" s="175"/>
      <c r="BF28" s="102"/>
      <c r="BG28" s="100"/>
      <c r="BH28" s="102"/>
      <c r="BI28" s="159"/>
      <c r="BJ28" s="126"/>
      <c r="BK28" s="102"/>
      <c r="BL28" s="100"/>
      <c r="BM28" s="102"/>
      <c r="BN28" s="113"/>
      <c r="BO28" s="175"/>
      <c r="BP28" s="102"/>
      <c r="BQ28" s="102"/>
      <c r="BR28" s="102"/>
      <c r="BS28" s="102"/>
      <c r="BT28" s="165"/>
      <c r="BU28" s="126"/>
      <c r="BV28" s="175"/>
      <c r="BW28" s="175"/>
      <c r="BX28" s="175"/>
      <c r="BY28" s="175"/>
      <c r="BZ28" s="113"/>
      <c r="CA28" s="175"/>
      <c r="CB28" s="175"/>
      <c r="CC28" s="175"/>
      <c r="CD28" s="175"/>
      <c r="CE28" s="175"/>
      <c r="CF28" s="159"/>
      <c r="CG28" s="126"/>
      <c r="CH28" s="175"/>
      <c r="CI28" s="175"/>
      <c r="CJ28" s="175"/>
      <c r="CK28" s="175"/>
      <c r="CL28" s="113"/>
      <c r="CM28" s="175"/>
      <c r="CN28" s="175"/>
      <c r="CO28" s="175"/>
      <c r="CP28" s="175"/>
      <c r="CQ28" s="175"/>
      <c r="CR28" s="159"/>
      <c r="CS28" s="126"/>
      <c r="CT28" s="175"/>
      <c r="CU28" s="175"/>
      <c r="CV28" s="175"/>
      <c r="CW28" s="175"/>
      <c r="CX28" s="113"/>
      <c r="CY28" s="126"/>
      <c r="CZ28" s="175"/>
      <c r="DA28" s="175"/>
      <c r="DB28" s="175"/>
      <c r="DC28" s="175"/>
      <c r="DD28" s="113"/>
      <c r="DE28" s="175"/>
      <c r="DF28" s="175"/>
      <c r="DG28" s="175"/>
      <c r="DH28" s="175"/>
      <c r="DI28" s="175"/>
      <c r="DJ28" s="159"/>
      <c r="DK28" s="126"/>
      <c r="DL28" s="175"/>
      <c r="DM28" s="175"/>
      <c r="DN28" s="175"/>
      <c r="DO28" s="175"/>
      <c r="DP28" s="113"/>
      <c r="DQ28" s="175"/>
      <c r="DR28" s="175"/>
      <c r="DS28" s="175"/>
      <c r="DT28" s="175"/>
      <c r="DU28" s="175"/>
      <c r="DV28" s="159"/>
      <c r="DW28" s="126"/>
      <c r="DX28" s="175"/>
      <c r="DY28" s="175"/>
      <c r="DZ28" s="175"/>
      <c r="EA28" s="175"/>
      <c r="EB28" s="113"/>
      <c r="EC28" s="126"/>
      <c r="ED28" s="175"/>
      <c r="EE28" s="175"/>
      <c r="EF28" s="175"/>
      <c r="EG28" s="175"/>
      <c r="EH28" s="113"/>
      <c r="EI28" s="126"/>
      <c r="EJ28" s="175"/>
      <c r="EK28" s="175"/>
      <c r="EL28" s="175"/>
      <c r="EM28" s="175"/>
      <c r="EN28" s="113"/>
      <c r="EO28" s="126"/>
      <c r="EP28" s="175"/>
      <c r="EQ28" s="175"/>
      <c r="ER28" s="175"/>
      <c r="ES28" s="175"/>
      <c r="ET28" s="113"/>
      <c r="EU28" s="159"/>
      <c r="EV28" s="159"/>
      <c r="EW28" s="159"/>
      <c r="EX28" s="159"/>
      <c r="EY28" s="159"/>
      <c r="EZ28" s="159"/>
      <c r="FA28" s="171">
        <f t="shared" si="13"/>
        <v>312</v>
      </c>
      <c r="FB28" s="100">
        <f t="shared" si="5"/>
        <v>780</v>
      </c>
      <c r="FC28" s="100"/>
      <c r="FD28" s="100">
        <f t="shared" si="34"/>
        <v>63</v>
      </c>
      <c r="FE28" s="141">
        <f t="shared" si="14"/>
        <v>64</v>
      </c>
      <c r="FF28" s="138">
        <f t="shared" si="28"/>
        <v>1092</v>
      </c>
    </row>
    <row r="29" spans="1:166" ht="12" customHeight="1" x14ac:dyDescent="0.2">
      <c r="A29" s="42" t="s">
        <v>39</v>
      </c>
      <c r="B29" s="47">
        <v>0</v>
      </c>
      <c r="C29" s="7">
        <v>3</v>
      </c>
      <c r="D29" s="4">
        <f t="shared" si="17"/>
        <v>1</v>
      </c>
      <c r="E29" s="7">
        <v>0</v>
      </c>
      <c r="F29" s="44">
        <f t="shared" si="18"/>
        <v>3</v>
      </c>
      <c r="G29" s="8">
        <v>0</v>
      </c>
      <c r="H29" s="7">
        <v>3</v>
      </c>
      <c r="I29" s="6">
        <v>0</v>
      </c>
      <c r="J29" s="7">
        <v>3</v>
      </c>
      <c r="K29" s="53">
        <f t="shared" si="20"/>
        <v>3</v>
      </c>
      <c r="L29" s="183">
        <v>0</v>
      </c>
      <c r="M29" s="7">
        <v>1</v>
      </c>
      <c r="N29" s="6">
        <f t="shared" si="21"/>
        <v>-1</v>
      </c>
      <c r="O29" s="7">
        <v>1</v>
      </c>
      <c r="P29" s="187">
        <f t="shared" si="22"/>
        <v>1</v>
      </c>
      <c r="Q29" s="8"/>
      <c r="R29" s="7"/>
      <c r="S29" s="6"/>
      <c r="T29" s="7"/>
      <c r="U29" s="44"/>
      <c r="V29" s="124">
        <v>21</v>
      </c>
      <c r="W29" s="102">
        <v>233</v>
      </c>
      <c r="X29" s="100">
        <f t="shared" si="29"/>
        <v>36</v>
      </c>
      <c r="Y29" s="102">
        <v>17</v>
      </c>
      <c r="Z29" s="113">
        <f t="shared" si="23"/>
        <v>254</v>
      </c>
      <c r="AA29" s="159">
        <v>0</v>
      </c>
      <c r="AB29" s="102">
        <v>70</v>
      </c>
      <c r="AC29" s="100">
        <f t="shared" si="30"/>
        <v>15</v>
      </c>
      <c r="AD29" s="102">
        <v>8</v>
      </c>
      <c r="AE29" s="159">
        <f t="shared" si="24"/>
        <v>70</v>
      </c>
      <c r="AF29" s="124">
        <v>43</v>
      </c>
      <c r="AG29" s="102">
        <v>158</v>
      </c>
      <c r="AH29" s="100">
        <f t="shared" si="31"/>
        <v>23</v>
      </c>
      <c r="AI29" s="102">
        <v>8</v>
      </c>
      <c r="AJ29" s="113">
        <f t="shared" si="25"/>
        <v>201</v>
      </c>
      <c r="AK29" s="159">
        <v>0</v>
      </c>
      <c r="AL29" s="102">
        <v>75</v>
      </c>
      <c r="AM29" s="100">
        <f t="shared" si="32"/>
        <v>19</v>
      </c>
      <c r="AN29" s="102">
        <v>6</v>
      </c>
      <c r="AO29" s="159">
        <f t="shared" si="26"/>
        <v>75</v>
      </c>
      <c r="AP29" s="124">
        <v>45</v>
      </c>
      <c r="AQ29" s="102">
        <v>350</v>
      </c>
      <c r="AR29" s="100">
        <f t="shared" si="33"/>
        <v>42</v>
      </c>
      <c r="AS29" s="102">
        <v>20</v>
      </c>
      <c r="AT29" s="113">
        <f t="shared" si="27"/>
        <v>395</v>
      </c>
      <c r="AU29" s="175"/>
      <c r="AV29" s="103"/>
      <c r="AW29" s="100"/>
      <c r="AX29" s="102"/>
      <c r="AY29" s="159"/>
      <c r="AZ29" s="126"/>
      <c r="BA29" s="103"/>
      <c r="BB29" s="100"/>
      <c r="BC29" s="102"/>
      <c r="BD29" s="113"/>
      <c r="BE29" s="175"/>
      <c r="BF29" s="102"/>
      <c r="BG29" s="100"/>
      <c r="BH29" s="102"/>
      <c r="BI29" s="159"/>
      <c r="BJ29" s="126"/>
      <c r="BK29" s="102"/>
      <c r="BL29" s="100"/>
      <c r="BM29" s="102"/>
      <c r="BN29" s="113"/>
      <c r="BO29" s="175"/>
      <c r="BP29" s="102"/>
      <c r="BQ29" s="102"/>
      <c r="BR29" s="102"/>
      <c r="BS29" s="102"/>
      <c r="BT29" s="165"/>
      <c r="BU29" s="126"/>
      <c r="BV29" s="175"/>
      <c r="BW29" s="175"/>
      <c r="BX29" s="175"/>
      <c r="BY29" s="175"/>
      <c r="BZ29" s="113"/>
      <c r="CA29" s="175"/>
      <c r="CB29" s="175"/>
      <c r="CC29" s="175"/>
      <c r="CD29" s="175"/>
      <c r="CE29" s="175"/>
      <c r="CF29" s="159"/>
      <c r="CG29" s="126"/>
      <c r="CH29" s="175"/>
      <c r="CI29" s="175"/>
      <c r="CJ29" s="175"/>
      <c r="CK29" s="175"/>
      <c r="CL29" s="113"/>
      <c r="CM29" s="175"/>
      <c r="CN29" s="175"/>
      <c r="CO29" s="175"/>
      <c r="CP29" s="175"/>
      <c r="CQ29" s="175"/>
      <c r="CR29" s="159"/>
      <c r="CS29" s="126"/>
      <c r="CT29" s="175"/>
      <c r="CU29" s="175"/>
      <c r="CV29" s="175"/>
      <c r="CW29" s="175"/>
      <c r="CX29" s="113"/>
      <c r="CY29" s="126"/>
      <c r="CZ29" s="175"/>
      <c r="DA29" s="175"/>
      <c r="DB29" s="175"/>
      <c r="DC29" s="175"/>
      <c r="DD29" s="113"/>
      <c r="DE29" s="175"/>
      <c r="DF29" s="175"/>
      <c r="DG29" s="175"/>
      <c r="DH29" s="175"/>
      <c r="DI29" s="175"/>
      <c r="DJ29" s="159"/>
      <c r="DK29" s="126"/>
      <c r="DL29" s="175"/>
      <c r="DM29" s="175"/>
      <c r="DN29" s="175"/>
      <c r="DO29" s="175"/>
      <c r="DP29" s="113"/>
      <c r="DQ29" s="175"/>
      <c r="DR29" s="175"/>
      <c r="DS29" s="175"/>
      <c r="DT29" s="175"/>
      <c r="DU29" s="175"/>
      <c r="DV29" s="159"/>
      <c r="DW29" s="126"/>
      <c r="DX29" s="175"/>
      <c r="DY29" s="175"/>
      <c r="DZ29" s="175"/>
      <c r="EA29" s="175"/>
      <c r="EB29" s="113"/>
      <c r="EC29" s="126"/>
      <c r="ED29" s="175"/>
      <c r="EE29" s="175"/>
      <c r="EF29" s="175"/>
      <c r="EG29" s="175"/>
      <c r="EH29" s="113"/>
      <c r="EI29" s="126"/>
      <c r="EJ29" s="175"/>
      <c r="EK29" s="175"/>
      <c r="EL29" s="175"/>
      <c r="EM29" s="175"/>
      <c r="EN29" s="113"/>
      <c r="EO29" s="126"/>
      <c r="EP29" s="175"/>
      <c r="EQ29" s="175"/>
      <c r="ER29" s="175"/>
      <c r="ES29" s="175"/>
      <c r="ET29" s="113"/>
      <c r="EU29" s="159"/>
      <c r="EV29" s="159"/>
      <c r="EW29" s="159"/>
      <c r="EX29" s="159"/>
      <c r="EY29" s="159"/>
      <c r="EZ29" s="159"/>
      <c r="FA29" s="171">
        <f t="shared" si="13"/>
        <v>109</v>
      </c>
      <c r="FB29" s="100">
        <f t="shared" si="5"/>
        <v>893</v>
      </c>
      <c r="FC29" s="100"/>
      <c r="FD29" s="100">
        <f t="shared" si="34"/>
        <v>135</v>
      </c>
      <c r="FE29" s="141">
        <f t="shared" si="14"/>
        <v>63</v>
      </c>
      <c r="FF29" s="138">
        <f t="shared" si="28"/>
        <v>1002</v>
      </c>
    </row>
    <row r="30" spans="1:166" ht="12" customHeight="1" x14ac:dyDescent="0.2">
      <c r="A30" s="42" t="s">
        <v>40</v>
      </c>
      <c r="B30" s="47">
        <v>0</v>
      </c>
      <c r="C30" s="7">
        <v>0</v>
      </c>
      <c r="D30" s="4">
        <f t="shared" si="17"/>
        <v>3</v>
      </c>
      <c r="E30" s="7">
        <v>0</v>
      </c>
      <c r="F30" s="44">
        <v>0</v>
      </c>
      <c r="G30" s="9">
        <v>0</v>
      </c>
      <c r="H30" s="7">
        <v>0</v>
      </c>
      <c r="I30" s="6">
        <v>0</v>
      </c>
      <c r="J30" s="7">
        <v>0</v>
      </c>
      <c r="K30" s="53">
        <v>0</v>
      </c>
      <c r="L30" s="188">
        <v>0</v>
      </c>
      <c r="M30" s="7">
        <v>0</v>
      </c>
      <c r="N30" s="6">
        <v>0</v>
      </c>
      <c r="O30" s="7">
        <v>0</v>
      </c>
      <c r="P30" s="187">
        <v>0</v>
      </c>
      <c r="Q30" s="9"/>
      <c r="R30" s="7"/>
      <c r="S30" s="6"/>
      <c r="T30" s="7"/>
      <c r="U30" s="29"/>
      <c r="V30" s="126">
        <v>80</v>
      </c>
      <c r="W30" s="102">
        <v>229</v>
      </c>
      <c r="X30" s="100">
        <f t="shared" si="29"/>
        <v>8</v>
      </c>
      <c r="Y30" s="102">
        <v>15</v>
      </c>
      <c r="Z30" s="113">
        <f t="shared" si="23"/>
        <v>309</v>
      </c>
      <c r="AA30" s="175">
        <v>50</v>
      </c>
      <c r="AB30" s="102">
        <v>66</v>
      </c>
      <c r="AC30" s="105">
        <f t="shared" si="30"/>
        <v>-4</v>
      </c>
      <c r="AD30" s="102">
        <v>5</v>
      </c>
      <c r="AE30" s="159">
        <f t="shared" si="24"/>
        <v>116</v>
      </c>
      <c r="AF30" s="126">
        <v>108</v>
      </c>
      <c r="AG30" s="102">
        <v>178</v>
      </c>
      <c r="AH30" s="100">
        <f t="shared" si="31"/>
        <v>15</v>
      </c>
      <c r="AI30" s="102">
        <v>1</v>
      </c>
      <c r="AJ30" s="113">
        <f t="shared" si="25"/>
        <v>286</v>
      </c>
      <c r="AK30" s="175">
        <v>57</v>
      </c>
      <c r="AL30" s="102">
        <v>63</v>
      </c>
      <c r="AM30" s="100">
        <f t="shared" si="32"/>
        <v>6</v>
      </c>
      <c r="AN30" s="102">
        <v>1</v>
      </c>
      <c r="AO30" s="159">
        <f t="shared" si="26"/>
        <v>120</v>
      </c>
      <c r="AP30" s="126">
        <v>127</v>
      </c>
      <c r="AQ30" s="102">
        <v>327</v>
      </c>
      <c r="AR30" s="100">
        <f t="shared" si="33"/>
        <v>48</v>
      </c>
      <c r="AS30" s="102">
        <v>20</v>
      </c>
      <c r="AT30" s="113">
        <f t="shared" si="27"/>
        <v>454</v>
      </c>
      <c r="AU30" s="175"/>
      <c r="AV30" s="103"/>
      <c r="AW30" s="100"/>
      <c r="AX30" s="102"/>
      <c r="AY30" s="159"/>
      <c r="AZ30" s="126"/>
      <c r="BA30" s="103"/>
      <c r="BB30" s="100"/>
      <c r="BC30" s="102"/>
      <c r="BD30" s="113"/>
      <c r="BE30" s="175"/>
      <c r="BF30" s="102"/>
      <c r="BG30" s="100"/>
      <c r="BH30" s="102"/>
      <c r="BI30" s="159"/>
      <c r="BJ30" s="126"/>
      <c r="BK30" s="102"/>
      <c r="BL30" s="100"/>
      <c r="BM30" s="102"/>
      <c r="BN30" s="113"/>
      <c r="BO30" s="175"/>
      <c r="BP30" s="102"/>
      <c r="BQ30" s="102"/>
      <c r="BR30" s="102"/>
      <c r="BS30" s="102"/>
      <c r="BT30" s="165"/>
      <c r="BU30" s="126"/>
      <c r="BV30" s="175"/>
      <c r="BW30" s="175"/>
      <c r="BX30" s="175"/>
      <c r="BY30" s="175"/>
      <c r="BZ30" s="113"/>
      <c r="CA30" s="175"/>
      <c r="CB30" s="175"/>
      <c r="CC30" s="175"/>
      <c r="CD30" s="175"/>
      <c r="CE30" s="175"/>
      <c r="CF30" s="159"/>
      <c r="CG30" s="126"/>
      <c r="CH30" s="175"/>
      <c r="CI30" s="175"/>
      <c r="CJ30" s="175"/>
      <c r="CK30" s="175"/>
      <c r="CL30" s="113"/>
      <c r="CM30" s="175"/>
      <c r="CN30" s="175"/>
      <c r="CO30" s="175"/>
      <c r="CP30" s="175"/>
      <c r="CQ30" s="175"/>
      <c r="CR30" s="159"/>
      <c r="CS30" s="126"/>
      <c r="CT30" s="175"/>
      <c r="CU30" s="175"/>
      <c r="CV30" s="175"/>
      <c r="CW30" s="175"/>
      <c r="CX30" s="113"/>
      <c r="CY30" s="126"/>
      <c r="CZ30" s="175"/>
      <c r="DA30" s="175"/>
      <c r="DB30" s="175"/>
      <c r="DC30" s="175"/>
      <c r="DD30" s="113"/>
      <c r="DE30" s="175"/>
      <c r="DF30" s="175"/>
      <c r="DG30" s="175"/>
      <c r="DH30" s="175"/>
      <c r="DI30" s="175"/>
      <c r="DJ30" s="159"/>
      <c r="DK30" s="126"/>
      <c r="DL30" s="175"/>
      <c r="DM30" s="175"/>
      <c r="DN30" s="175"/>
      <c r="DO30" s="175"/>
      <c r="DP30" s="113"/>
      <c r="DQ30" s="175"/>
      <c r="DR30" s="175"/>
      <c r="DS30" s="175"/>
      <c r="DT30" s="175"/>
      <c r="DU30" s="175"/>
      <c r="DV30" s="159"/>
      <c r="DW30" s="126"/>
      <c r="DX30" s="175"/>
      <c r="DY30" s="175"/>
      <c r="DZ30" s="175"/>
      <c r="EA30" s="175"/>
      <c r="EB30" s="113"/>
      <c r="EC30" s="126"/>
      <c r="ED30" s="175"/>
      <c r="EE30" s="175"/>
      <c r="EF30" s="175"/>
      <c r="EG30" s="175"/>
      <c r="EH30" s="113"/>
      <c r="EI30" s="126"/>
      <c r="EJ30" s="175"/>
      <c r="EK30" s="175"/>
      <c r="EL30" s="175"/>
      <c r="EM30" s="175"/>
      <c r="EN30" s="113"/>
      <c r="EO30" s="126"/>
      <c r="EP30" s="175"/>
      <c r="EQ30" s="175"/>
      <c r="ER30" s="175"/>
      <c r="ES30" s="175"/>
      <c r="ET30" s="113"/>
      <c r="EU30" s="159"/>
      <c r="EV30" s="159"/>
      <c r="EW30" s="159"/>
      <c r="EX30" s="159"/>
      <c r="EY30" s="159"/>
      <c r="EZ30" s="159"/>
      <c r="FA30" s="171">
        <f t="shared" si="13"/>
        <v>422</v>
      </c>
      <c r="FB30" s="100">
        <f t="shared" si="5"/>
        <v>863</v>
      </c>
      <c r="FC30" s="100"/>
      <c r="FD30" s="100">
        <f t="shared" si="34"/>
        <v>76</v>
      </c>
      <c r="FE30" s="141">
        <f t="shared" si="14"/>
        <v>42</v>
      </c>
      <c r="FF30" s="138">
        <f t="shared" si="28"/>
        <v>1285</v>
      </c>
    </row>
    <row r="31" spans="1:166" ht="12" customHeight="1" x14ac:dyDescent="0.2">
      <c r="A31" s="42" t="s">
        <v>41</v>
      </c>
      <c r="B31" s="48"/>
      <c r="C31" s="7"/>
      <c r="D31" s="4"/>
      <c r="E31" s="7"/>
      <c r="F31" s="44"/>
      <c r="G31" s="9"/>
      <c r="H31" s="7"/>
      <c r="I31" s="6"/>
      <c r="J31" s="7"/>
      <c r="K31" s="53"/>
      <c r="L31" s="188"/>
      <c r="M31" s="7"/>
      <c r="N31" s="6"/>
      <c r="O31" s="7"/>
      <c r="P31" s="187"/>
      <c r="Q31" s="9"/>
      <c r="R31" s="7"/>
      <c r="S31" s="6"/>
      <c r="T31" s="7"/>
      <c r="U31" s="29"/>
      <c r="V31" s="126">
        <v>5</v>
      </c>
      <c r="W31" s="102">
        <v>233</v>
      </c>
      <c r="X31" s="100">
        <f t="shared" si="29"/>
        <v>61</v>
      </c>
      <c r="Y31" s="102">
        <v>27</v>
      </c>
      <c r="Z31" s="113">
        <f t="shared" si="23"/>
        <v>238</v>
      </c>
      <c r="AA31" s="175">
        <v>15</v>
      </c>
      <c r="AB31" s="102">
        <v>79</v>
      </c>
      <c r="AC31" s="100">
        <f t="shared" si="30"/>
        <v>32</v>
      </c>
      <c r="AD31" s="102">
        <v>5</v>
      </c>
      <c r="AE31" s="159">
        <f t="shared" si="24"/>
        <v>94</v>
      </c>
      <c r="AF31" s="126">
        <v>35</v>
      </c>
      <c r="AG31" s="102">
        <v>242</v>
      </c>
      <c r="AH31" s="100">
        <f t="shared" si="31"/>
        <v>43</v>
      </c>
      <c r="AI31" s="102">
        <v>10</v>
      </c>
      <c r="AJ31" s="113">
        <f t="shared" si="25"/>
        <v>277</v>
      </c>
      <c r="AK31" s="175">
        <v>20</v>
      </c>
      <c r="AL31" s="102">
        <v>92</v>
      </c>
      <c r="AM31" s="100">
        <f t="shared" si="32"/>
        <v>27</v>
      </c>
      <c r="AN31" s="102">
        <v>3</v>
      </c>
      <c r="AO31" s="159">
        <f t="shared" si="26"/>
        <v>112</v>
      </c>
      <c r="AP31" s="126">
        <v>43</v>
      </c>
      <c r="AQ31" s="102">
        <v>323</v>
      </c>
      <c r="AR31" s="100">
        <f t="shared" si="33"/>
        <v>111</v>
      </c>
      <c r="AS31" s="102">
        <v>29</v>
      </c>
      <c r="AT31" s="113">
        <f t="shared" si="27"/>
        <v>366</v>
      </c>
      <c r="AU31" s="175"/>
      <c r="AV31" s="103"/>
      <c r="AW31" s="100"/>
      <c r="AX31" s="102"/>
      <c r="AY31" s="159"/>
      <c r="AZ31" s="126"/>
      <c r="BA31" s="103"/>
      <c r="BB31" s="100"/>
      <c r="BC31" s="102"/>
      <c r="BD31" s="113"/>
      <c r="BE31" s="175"/>
      <c r="BF31" s="102"/>
      <c r="BG31" s="100"/>
      <c r="BH31" s="102"/>
      <c r="BI31" s="159"/>
      <c r="BJ31" s="126"/>
      <c r="BK31" s="102"/>
      <c r="BL31" s="100"/>
      <c r="BM31" s="102"/>
      <c r="BN31" s="113"/>
      <c r="BO31" s="175"/>
      <c r="BP31" s="102"/>
      <c r="BQ31" s="102"/>
      <c r="BR31" s="102"/>
      <c r="BS31" s="102"/>
      <c r="BT31" s="165"/>
      <c r="BU31" s="126"/>
      <c r="BV31" s="175"/>
      <c r="BW31" s="175"/>
      <c r="BX31" s="175"/>
      <c r="BY31" s="175"/>
      <c r="BZ31" s="113"/>
      <c r="CA31" s="175"/>
      <c r="CB31" s="175"/>
      <c r="CC31" s="175"/>
      <c r="CD31" s="175"/>
      <c r="CE31" s="175"/>
      <c r="CF31" s="159"/>
      <c r="CG31" s="126"/>
      <c r="CH31" s="175"/>
      <c r="CI31" s="175"/>
      <c r="CJ31" s="175"/>
      <c r="CK31" s="175"/>
      <c r="CL31" s="113"/>
      <c r="CM31" s="175"/>
      <c r="CN31" s="175"/>
      <c r="CO31" s="175"/>
      <c r="CP31" s="175"/>
      <c r="CQ31" s="175"/>
      <c r="CR31" s="159"/>
      <c r="CS31" s="126"/>
      <c r="CT31" s="175"/>
      <c r="CU31" s="175"/>
      <c r="CV31" s="175"/>
      <c r="CW31" s="175"/>
      <c r="CX31" s="113"/>
      <c r="CY31" s="126"/>
      <c r="CZ31" s="175"/>
      <c r="DA31" s="175"/>
      <c r="DB31" s="175"/>
      <c r="DC31" s="175"/>
      <c r="DD31" s="113"/>
      <c r="DE31" s="175"/>
      <c r="DF31" s="175"/>
      <c r="DG31" s="175"/>
      <c r="DH31" s="175"/>
      <c r="DI31" s="175"/>
      <c r="DJ31" s="159"/>
      <c r="DK31" s="126"/>
      <c r="DL31" s="175"/>
      <c r="DM31" s="175"/>
      <c r="DN31" s="175"/>
      <c r="DO31" s="175"/>
      <c r="DP31" s="113"/>
      <c r="DQ31" s="175"/>
      <c r="DR31" s="175"/>
      <c r="DS31" s="175"/>
      <c r="DT31" s="175"/>
      <c r="DU31" s="175"/>
      <c r="DV31" s="159"/>
      <c r="DW31" s="126"/>
      <c r="DX31" s="175"/>
      <c r="DY31" s="175"/>
      <c r="DZ31" s="175"/>
      <c r="EA31" s="175"/>
      <c r="EB31" s="113"/>
      <c r="EC31" s="126"/>
      <c r="ED31" s="175"/>
      <c r="EE31" s="175"/>
      <c r="EF31" s="175"/>
      <c r="EG31" s="175"/>
      <c r="EH31" s="113"/>
      <c r="EI31" s="126"/>
      <c r="EJ31" s="175"/>
      <c r="EK31" s="175"/>
      <c r="EL31" s="175"/>
      <c r="EM31" s="175"/>
      <c r="EN31" s="113"/>
      <c r="EO31" s="126"/>
      <c r="EP31" s="175"/>
      <c r="EQ31" s="175"/>
      <c r="ER31" s="175"/>
      <c r="ES31" s="175"/>
      <c r="ET31" s="113"/>
      <c r="EU31" s="159"/>
      <c r="EV31" s="159"/>
      <c r="EW31" s="159"/>
      <c r="EX31" s="159"/>
      <c r="EY31" s="159"/>
      <c r="EZ31" s="159"/>
      <c r="FA31" s="171">
        <f t="shared" si="13"/>
        <v>118</v>
      </c>
      <c r="FB31" s="100">
        <f t="shared" si="5"/>
        <v>969</v>
      </c>
      <c r="FC31" s="100"/>
      <c r="FD31" s="100">
        <f t="shared" si="34"/>
        <v>274</v>
      </c>
      <c r="FE31" s="141">
        <f t="shared" si="14"/>
        <v>74</v>
      </c>
      <c r="FF31" s="138">
        <f t="shared" si="28"/>
        <v>1087</v>
      </c>
    </row>
    <row r="32" spans="1:166" ht="12" customHeight="1" x14ac:dyDescent="0.2">
      <c r="A32" s="42" t="s">
        <v>42</v>
      </c>
      <c r="B32" s="48"/>
      <c r="C32" s="7"/>
      <c r="D32" s="4"/>
      <c r="E32" s="7"/>
      <c r="F32" s="44"/>
      <c r="G32" s="9"/>
      <c r="H32" s="7"/>
      <c r="I32" s="6"/>
      <c r="J32" s="7"/>
      <c r="K32" s="53"/>
      <c r="L32" s="188"/>
      <c r="M32" s="7"/>
      <c r="N32" s="6"/>
      <c r="O32" s="7"/>
      <c r="P32" s="187"/>
      <c r="Q32" s="9"/>
      <c r="R32" s="7"/>
      <c r="S32" s="6"/>
      <c r="T32" s="7"/>
      <c r="U32" s="29"/>
      <c r="V32" s="126">
        <v>42</v>
      </c>
      <c r="W32" s="102">
        <v>184</v>
      </c>
      <c r="X32" s="100">
        <f t="shared" si="29"/>
        <v>27</v>
      </c>
      <c r="Y32" s="102">
        <v>19</v>
      </c>
      <c r="Z32" s="113">
        <f t="shared" si="23"/>
        <v>226</v>
      </c>
      <c r="AA32" s="175">
        <v>49</v>
      </c>
      <c r="AB32" s="102">
        <v>66</v>
      </c>
      <c r="AC32" s="100">
        <f t="shared" si="30"/>
        <v>23</v>
      </c>
      <c r="AD32" s="102">
        <v>1</v>
      </c>
      <c r="AE32" s="159">
        <f t="shared" si="24"/>
        <v>115</v>
      </c>
      <c r="AF32" s="126">
        <v>135</v>
      </c>
      <c r="AG32" s="102">
        <v>235</v>
      </c>
      <c r="AH32" s="100">
        <f t="shared" si="31"/>
        <v>32</v>
      </c>
      <c r="AI32" s="102">
        <v>7</v>
      </c>
      <c r="AJ32" s="113">
        <f t="shared" si="25"/>
        <v>370</v>
      </c>
      <c r="AK32" s="175">
        <v>62</v>
      </c>
      <c r="AL32" s="102">
        <v>81</v>
      </c>
      <c r="AM32" s="100">
        <f t="shared" si="32"/>
        <v>28</v>
      </c>
      <c r="AN32" s="102">
        <v>7</v>
      </c>
      <c r="AO32" s="159">
        <f t="shared" si="26"/>
        <v>143</v>
      </c>
      <c r="AP32" s="126">
        <v>133</v>
      </c>
      <c r="AQ32" s="102">
        <v>282</v>
      </c>
      <c r="AR32" s="100">
        <f t="shared" si="33"/>
        <v>55</v>
      </c>
      <c r="AS32" s="102">
        <v>47</v>
      </c>
      <c r="AT32" s="113">
        <f t="shared" si="27"/>
        <v>415</v>
      </c>
      <c r="AU32" s="175"/>
      <c r="AV32" s="103"/>
      <c r="AW32" s="100"/>
      <c r="AX32" s="102"/>
      <c r="AY32" s="159"/>
      <c r="AZ32" s="126"/>
      <c r="BA32" s="103"/>
      <c r="BB32" s="100"/>
      <c r="BC32" s="102"/>
      <c r="BD32" s="113"/>
      <c r="BE32" s="175"/>
      <c r="BF32" s="102"/>
      <c r="BG32" s="100"/>
      <c r="BH32" s="102"/>
      <c r="BI32" s="159"/>
      <c r="BJ32" s="126"/>
      <c r="BK32" s="102"/>
      <c r="BL32" s="100"/>
      <c r="BM32" s="102"/>
      <c r="BN32" s="113"/>
      <c r="BO32" s="175"/>
      <c r="BP32" s="102"/>
      <c r="BQ32" s="102"/>
      <c r="BR32" s="102"/>
      <c r="BS32" s="102"/>
      <c r="BT32" s="165"/>
      <c r="BU32" s="126"/>
      <c r="BV32" s="175"/>
      <c r="BW32" s="175"/>
      <c r="BX32" s="175"/>
      <c r="BY32" s="175"/>
      <c r="BZ32" s="113"/>
      <c r="CA32" s="175"/>
      <c r="CB32" s="175"/>
      <c r="CC32" s="175"/>
      <c r="CD32" s="175"/>
      <c r="CE32" s="175"/>
      <c r="CF32" s="159"/>
      <c r="CG32" s="126"/>
      <c r="CH32" s="175"/>
      <c r="CI32" s="175"/>
      <c r="CJ32" s="175"/>
      <c r="CK32" s="175"/>
      <c r="CL32" s="113"/>
      <c r="CM32" s="175"/>
      <c r="CN32" s="175"/>
      <c r="CO32" s="175"/>
      <c r="CP32" s="175"/>
      <c r="CQ32" s="175"/>
      <c r="CR32" s="159"/>
      <c r="CS32" s="126"/>
      <c r="CT32" s="175"/>
      <c r="CU32" s="175"/>
      <c r="CV32" s="175"/>
      <c r="CW32" s="175"/>
      <c r="CX32" s="113"/>
      <c r="CY32" s="126"/>
      <c r="CZ32" s="175"/>
      <c r="DA32" s="175"/>
      <c r="DB32" s="175"/>
      <c r="DC32" s="175"/>
      <c r="DD32" s="113"/>
      <c r="DE32" s="175"/>
      <c r="DF32" s="175"/>
      <c r="DG32" s="175"/>
      <c r="DH32" s="175"/>
      <c r="DI32" s="175"/>
      <c r="DJ32" s="159"/>
      <c r="DK32" s="126"/>
      <c r="DL32" s="175"/>
      <c r="DM32" s="175"/>
      <c r="DN32" s="175"/>
      <c r="DO32" s="175"/>
      <c r="DP32" s="113"/>
      <c r="DQ32" s="175"/>
      <c r="DR32" s="175"/>
      <c r="DS32" s="175"/>
      <c r="DT32" s="175"/>
      <c r="DU32" s="175"/>
      <c r="DV32" s="159"/>
      <c r="DW32" s="126"/>
      <c r="DX32" s="175"/>
      <c r="DY32" s="175"/>
      <c r="DZ32" s="175"/>
      <c r="EA32" s="175"/>
      <c r="EB32" s="113"/>
      <c r="EC32" s="126"/>
      <c r="ED32" s="175"/>
      <c r="EE32" s="175"/>
      <c r="EF32" s="175"/>
      <c r="EG32" s="175"/>
      <c r="EH32" s="113"/>
      <c r="EI32" s="126"/>
      <c r="EJ32" s="175"/>
      <c r="EK32" s="175"/>
      <c r="EL32" s="175"/>
      <c r="EM32" s="175"/>
      <c r="EN32" s="113"/>
      <c r="EO32" s="126"/>
      <c r="EP32" s="175"/>
      <c r="EQ32" s="175"/>
      <c r="ER32" s="175"/>
      <c r="ES32" s="175"/>
      <c r="ET32" s="113"/>
      <c r="EU32" s="159"/>
      <c r="EV32" s="159"/>
      <c r="EW32" s="159"/>
      <c r="EX32" s="159"/>
      <c r="EY32" s="159"/>
      <c r="EZ32" s="159"/>
      <c r="FA32" s="171">
        <f t="shared" si="13"/>
        <v>421</v>
      </c>
      <c r="FB32" s="100">
        <f t="shared" si="5"/>
        <v>848</v>
      </c>
      <c r="FC32" s="100"/>
      <c r="FD32" s="100">
        <f t="shared" si="34"/>
        <v>165</v>
      </c>
      <c r="FE32" s="141">
        <f t="shared" si="14"/>
        <v>81</v>
      </c>
      <c r="FF32" s="138">
        <f t="shared" si="28"/>
        <v>1269</v>
      </c>
    </row>
    <row r="33" spans="1:172" ht="12" customHeight="1" x14ac:dyDescent="0.2">
      <c r="A33" s="42" t="s">
        <v>43</v>
      </c>
      <c r="B33" s="48"/>
      <c r="C33" s="7"/>
      <c r="D33" s="4"/>
      <c r="E33" s="7"/>
      <c r="F33" s="44"/>
      <c r="G33" s="9"/>
      <c r="H33" s="7"/>
      <c r="I33" s="6"/>
      <c r="J33" s="7"/>
      <c r="K33" s="53"/>
      <c r="L33" s="188"/>
      <c r="M33" s="7"/>
      <c r="N33" s="6"/>
      <c r="O33" s="7"/>
      <c r="P33" s="187"/>
      <c r="Q33" s="9"/>
      <c r="R33" s="7"/>
      <c r="S33" s="6"/>
      <c r="T33" s="7"/>
      <c r="U33" s="29"/>
      <c r="V33" s="126">
        <v>34</v>
      </c>
      <c r="W33" s="102">
        <v>169</v>
      </c>
      <c r="X33" s="100">
        <f t="shared" si="29"/>
        <v>38</v>
      </c>
      <c r="Y33" s="102">
        <v>18</v>
      </c>
      <c r="Z33" s="113">
        <f t="shared" si="23"/>
        <v>203</v>
      </c>
      <c r="AA33" s="175">
        <v>0</v>
      </c>
      <c r="AB33" s="102">
        <v>93</v>
      </c>
      <c r="AC33" s="100">
        <f t="shared" si="30"/>
        <v>21</v>
      </c>
      <c r="AD33" s="102">
        <v>9</v>
      </c>
      <c r="AE33" s="159">
        <f t="shared" si="24"/>
        <v>93</v>
      </c>
      <c r="AF33" s="126">
        <v>53</v>
      </c>
      <c r="AG33" s="102">
        <v>298</v>
      </c>
      <c r="AH33" s="100">
        <f t="shared" si="31"/>
        <v>65</v>
      </c>
      <c r="AI33" s="102">
        <v>29</v>
      </c>
      <c r="AJ33" s="113">
        <f t="shared" si="25"/>
        <v>351</v>
      </c>
      <c r="AK33" s="175">
        <v>0</v>
      </c>
      <c r="AL33" s="102">
        <v>118</v>
      </c>
      <c r="AM33" s="100">
        <f t="shared" si="32"/>
        <v>18</v>
      </c>
      <c r="AN33" s="102">
        <v>5</v>
      </c>
      <c r="AO33" s="159">
        <f t="shared" si="26"/>
        <v>118</v>
      </c>
      <c r="AP33" s="126">
        <v>47</v>
      </c>
      <c r="AQ33" s="102">
        <v>292</v>
      </c>
      <c r="AR33" s="100">
        <f t="shared" si="33"/>
        <v>76</v>
      </c>
      <c r="AS33" s="102">
        <v>27</v>
      </c>
      <c r="AT33" s="113">
        <f t="shared" si="27"/>
        <v>339</v>
      </c>
      <c r="AU33" s="175">
        <v>89</v>
      </c>
      <c r="AV33" s="103">
        <v>0</v>
      </c>
      <c r="AW33" s="100">
        <f t="shared" ref="AW33:AW40" si="35">SUM(AY32-AV33-AX32)</f>
        <v>0</v>
      </c>
      <c r="AX33" s="102">
        <v>0</v>
      </c>
      <c r="AY33" s="159">
        <f t="shared" ref="AY33:AY46" si="36">SUM(AU33+AV33)</f>
        <v>89</v>
      </c>
      <c r="AZ33" s="126"/>
      <c r="BA33" s="103"/>
      <c r="BB33" s="100"/>
      <c r="BC33" s="102"/>
      <c r="BD33" s="113"/>
      <c r="BE33" s="175"/>
      <c r="BF33" s="102"/>
      <c r="BG33" s="100"/>
      <c r="BH33" s="102"/>
      <c r="BI33" s="159"/>
      <c r="BJ33" s="126"/>
      <c r="BK33" s="102"/>
      <c r="BL33" s="100"/>
      <c r="BM33" s="102"/>
      <c r="BN33" s="113"/>
      <c r="BO33" s="175"/>
      <c r="BP33" s="102"/>
      <c r="BQ33" s="102"/>
      <c r="BR33" s="102"/>
      <c r="BS33" s="102"/>
      <c r="BT33" s="165"/>
      <c r="BU33" s="126"/>
      <c r="BV33" s="175"/>
      <c r="BW33" s="175"/>
      <c r="BX33" s="175"/>
      <c r="BY33" s="175"/>
      <c r="BZ33" s="113"/>
      <c r="CA33" s="175"/>
      <c r="CB33" s="175"/>
      <c r="CC33" s="175"/>
      <c r="CD33" s="175"/>
      <c r="CE33" s="175"/>
      <c r="CF33" s="159"/>
      <c r="CG33" s="126"/>
      <c r="CH33" s="175"/>
      <c r="CI33" s="175"/>
      <c r="CJ33" s="175"/>
      <c r="CK33" s="175"/>
      <c r="CL33" s="113"/>
      <c r="CM33" s="175"/>
      <c r="CN33" s="175"/>
      <c r="CO33" s="175"/>
      <c r="CP33" s="175"/>
      <c r="CQ33" s="175"/>
      <c r="CR33" s="159"/>
      <c r="CS33" s="126"/>
      <c r="CT33" s="175"/>
      <c r="CU33" s="175"/>
      <c r="CV33" s="175"/>
      <c r="CW33" s="175"/>
      <c r="CX33" s="113"/>
      <c r="CY33" s="126"/>
      <c r="CZ33" s="175"/>
      <c r="DA33" s="175"/>
      <c r="DB33" s="175"/>
      <c r="DC33" s="175"/>
      <c r="DD33" s="113"/>
      <c r="DE33" s="175"/>
      <c r="DF33" s="175"/>
      <c r="DG33" s="175"/>
      <c r="DH33" s="175"/>
      <c r="DI33" s="175"/>
      <c r="DJ33" s="159"/>
      <c r="DK33" s="126"/>
      <c r="DL33" s="175"/>
      <c r="DM33" s="175"/>
      <c r="DN33" s="175"/>
      <c r="DO33" s="175"/>
      <c r="DP33" s="113"/>
      <c r="DQ33" s="175"/>
      <c r="DR33" s="175"/>
      <c r="DS33" s="175"/>
      <c r="DT33" s="175"/>
      <c r="DU33" s="175"/>
      <c r="DV33" s="159"/>
      <c r="DW33" s="126"/>
      <c r="DX33" s="175"/>
      <c r="DY33" s="175"/>
      <c r="DZ33" s="175"/>
      <c r="EA33" s="175"/>
      <c r="EB33" s="113"/>
      <c r="EC33" s="126"/>
      <c r="ED33" s="175"/>
      <c r="EE33" s="175"/>
      <c r="EF33" s="175"/>
      <c r="EG33" s="175"/>
      <c r="EH33" s="113"/>
      <c r="EI33" s="126"/>
      <c r="EJ33" s="175"/>
      <c r="EK33" s="175"/>
      <c r="EL33" s="175"/>
      <c r="EM33" s="175"/>
      <c r="EN33" s="113"/>
      <c r="EO33" s="126"/>
      <c r="EP33" s="175"/>
      <c r="EQ33" s="175"/>
      <c r="ER33" s="175"/>
      <c r="ES33" s="175"/>
      <c r="ET33" s="113"/>
      <c r="EU33" s="159"/>
      <c r="EV33" s="159"/>
      <c r="EW33" s="159"/>
      <c r="EX33" s="159"/>
      <c r="EY33" s="159"/>
      <c r="EZ33" s="159"/>
      <c r="FA33" s="171">
        <f t="shared" si="13"/>
        <v>223</v>
      </c>
      <c r="FB33" s="100">
        <f t="shared" si="5"/>
        <v>970</v>
      </c>
      <c r="FC33" s="100"/>
      <c r="FD33" s="100">
        <f t="shared" si="34"/>
        <v>218</v>
      </c>
      <c r="FE33" s="141">
        <f t="shared" si="14"/>
        <v>88</v>
      </c>
      <c r="FF33" s="138">
        <f t="shared" si="28"/>
        <v>1193</v>
      </c>
    </row>
    <row r="34" spans="1:172" ht="12" customHeight="1" x14ac:dyDescent="0.2">
      <c r="A34" s="42" t="s">
        <v>44</v>
      </c>
      <c r="B34" s="48"/>
      <c r="C34" s="5"/>
      <c r="D34" s="4"/>
      <c r="E34" s="7"/>
      <c r="F34" s="44"/>
      <c r="G34" s="9"/>
      <c r="H34" s="7"/>
      <c r="I34" s="6"/>
      <c r="J34" s="7"/>
      <c r="K34" s="53"/>
      <c r="L34" s="188"/>
      <c r="M34" s="7"/>
      <c r="N34" s="6"/>
      <c r="O34" s="7"/>
      <c r="P34" s="187"/>
      <c r="Q34" s="9"/>
      <c r="R34" s="7"/>
      <c r="S34" s="6"/>
      <c r="T34" s="7"/>
      <c r="U34" s="29"/>
      <c r="V34" s="126">
        <v>88</v>
      </c>
      <c r="W34" s="102">
        <v>159</v>
      </c>
      <c r="X34" s="100">
        <f t="shared" si="29"/>
        <v>26</v>
      </c>
      <c r="Y34" s="102">
        <v>19</v>
      </c>
      <c r="Z34" s="113">
        <f t="shared" si="23"/>
        <v>247</v>
      </c>
      <c r="AA34" s="175">
        <v>52</v>
      </c>
      <c r="AB34" s="102">
        <v>74</v>
      </c>
      <c r="AC34" s="100">
        <f t="shared" si="30"/>
        <v>10</v>
      </c>
      <c r="AD34" s="102">
        <v>5</v>
      </c>
      <c r="AE34" s="159">
        <f t="shared" ref="AE34:AE61" si="37">SUM(AA34+AB34)</f>
        <v>126</v>
      </c>
      <c r="AF34" s="126">
        <v>138</v>
      </c>
      <c r="AG34" s="102">
        <v>308</v>
      </c>
      <c r="AH34" s="100">
        <f t="shared" si="31"/>
        <v>14</v>
      </c>
      <c r="AI34" s="102">
        <v>21</v>
      </c>
      <c r="AJ34" s="113">
        <f t="shared" ref="AJ34:AJ61" si="38">SUM(AF34+AG34)</f>
        <v>446</v>
      </c>
      <c r="AK34" s="175">
        <v>85</v>
      </c>
      <c r="AL34" s="102">
        <v>100</v>
      </c>
      <c r="AM34" s="100">
        <f t="shared" si="32"/>
        <v>13</v>
      </c>
      <c r="AN34" s="102">
        <v>1</v>
      </c>
      <c r="AO34" s="159">
        <f t="shared" ref="AO34:AO61" si="39">SUM(AK34+AL34)</f>
        <v>185</v>
      </c>
      <c r="AP34" s="126">
        <v>140</v>
      </c>
      <c r="AQ34" s="102">
        <v>283</v>
      </c>
      <c r="AR34" s="100">
        <f t="shared" si="33"/>
        <v>29</v>
      </c>
      <c r="AS34" s="102">
        <v>29</v>
      </c>
      <c r="AT34" s="113">
        <f t="shared" ref="AT34:AT46" si="40">SUM(AP34+AQ34)</f>
        <v>423</v>
      </c>
      <c r="AU34" s="175">
        <v>150</v>
      </c>
      <c r="AV34" s="103">
        <v>86</v>
      </c>
      <c r="AW34" s="100">
        <f t="shared" si="35"/>
        <v>3</v>
      </c>
      <c r="AX34" s="102">
        <v>0</v>
      </c>
      <c r="AY34" s="159">
        <f t="shared" si="36"/>
        <v>236</v>
      </c>
      <c r="AZ34" s="126">
        <v>89</v>
      </c>
      <c r="BA34" s="103">
        <v>0</v>
      </c>
      <c r="BB34" s="100">
        <f t="shared" ref="BB34:BB40" si="41">SUM(BD33-BA34-BC33)</f>
        <v>0</v>
      </c>
      <c r="BC34" s="102">
        <v>0</v>
      </c>
      <c r="BD34" s="113">
        <f t="shared" ref="BD34:BD46" si="42">SUM(AZ34+BA34)</f>
        <v>89</v>
      </c>
      <c r="BE34" s="175">
        <v>70</v>
      </c>
      <c r="BF34" s="102">
        <v>0</v>
      </c>
      <c r="BG34" s="100">
        <f t="shared" ref="BG34:BG40" si="43">SUM(BI33-BF34-BH33)</f>
        <v>0</v>
      </c>
      <c r="BH34" s="102">
        <v>0</v>
      </c>
      <c r="BI34" s="159">
        <f t="shared" ref="BI34:BI46" si="44">SUM(BE34+BF34)</f>
        <v>70</v>
      </c>
      <c r="BJ34" s="126"/>
      <c r="BK34" s="102"/>
      <c r="BL34" s="100"/>
      <c r="BM34" s="102"/>
      <c r="BN34" s="113"/>
      <c r="BO34" s="175"/>
      <c r="BP34" s="102"/>
      <c r="BQ34" s="102"/>
      <c r="BR34" s="102"/>
      <c r="BS34" s="102"/>
      <c r="BT34" s="165"/>
      <c r="BU34" s="126"/>
      <c r="BV34" s="175"/>
      <c r="BW34" s="175"/>
      <c r="BX34" s="175"/>
      <c r="BY34" s="175"/>
      <c r="BZ34" s="113"/>
      <c r="CA34" s="175"/>
      <c r="CB34" s="175"/>
      <c r="CC34" s="175"/>
      <c r="CD34" s="175"/>
      <c r="CE34" s="175"/>
      <c r="CF34" s="159"/>
      <c r="CG34" s="126"/>
      <c r="CH34" s="175"/>
      <c r="CI34" s="175"/>
      <c r="CJ34" s="175"/>
      <c r="CK34" s="175"/>
      <c r="CL34" s="113"/>
      <c r="CM34" s="175"/>
      <c r="CN34" s="175"/>
      <c r="CO34" s="175"/>
      <c r="CP34" s="175"/>
      <c r="CQ34" s="175"/>
      <c r="CR34" s="159"/>
      <c r="CS34" s="126"/>
      <c r="CT34" s="175"/>
      <c r="CU34" s="175"/>
      <c r="CV34" s="175"/>
      <c r="CW34" s="175"/>
      <c r="CX34" s="113"/>
      <c r="CY34" s="126"/>
      <c r="CZ34" s="175"/>
      <c r="DA34" s="175"/>
      <c r="DB34" s="175"/>
      <c r="DC34" s="175"/>
      <c r="DD34" s="113"/>
      <c r="DE34" s="175"/>
      <c r="DF34" s="175"/>
      <c r="DG34" s="175"/>
      <c r="DH34" s="175"/>
      <c r="DI34" s="175"/>
      <c r="DJ34" s="159"/>
      <c r="DK34" s="126"/>
      <c r="DL34" s="175"/>
      <c r="DM34" s="175"/>
      <c r="DN34" s="175"/>
      <c r="DO34" s="175"/>
      <c r="DP34" s="113"/>
      <c r="DQ34" s="175"/>
      <c r="DR34" s="175"/>
      <c r="DS34" s="175"/>
      <c r="DT34" s="175"/>
      <c r="DU34" s="175"/>
      <c r="DV34" s="159"/>
      <c r="DW34" s="126"/>
      <c r="DX34" s="175"/>
      <c r="DY34" s="175"/>
      <c r="DZ34" s="175"/>
      <c r="EA34" s="175"/>
      <c r="EB34" s="113"/>
      <c r="EC34" s="126"/>
      <c r="ED34" s="175"/>
      <c r="EE34" s="175"/>
      <c r="EF34" s="175"/>
      <c r="EG34" s="175"/>
      <c r="EH34" s="113"/>
      <c r="EI34" s="126"/>
      <c r="EJ34" s="175"/>
      <c r="EK34" s="175"/>
      <c r="EL34" s="175"/>
      <c r="EM34" s="175"/>
      <c r="EN34" s="113"/>
      <c r="EO34" s="126"/>
      <c r="EP34" s="175"/>
      <c r="EQ34" s="175"/>
      <c r="ER34" s="175"/>
      <c r="ES34" s="175"/>
      <c r="ET34" s="113"/>
      <c r="EU34" s="159"/>
      <c r="EV34" s="159"/>
      <c r="EW34" s="159"/>
      <c r="EX34" s="159"/>
      <c r="EY34" s="159"/>
      <c r="EZ34" s="159"/>
      <c r="FA34" s="171">
        <f t="shared" si="13"/>
        <v>812</v>
      </c>
      <c r="FB34" s="100">
        <f t="shared" si="5"/>
        <v>1010</v>
      </c>
      <c r="FC34" s="100"/>
      <c r="FD34" s="100">
        <f t="shared" si="34"/>
        <v>95</v>
      </c>
      <c r="FE34" s="141">
        <f t="shared" si="14"/>
        <v>75</v>
      </c>
      <c r="FF34" s="138">
        <f t="shared" ref="FF34:FF46" si="45">SUM(FA34+FB34)</f>
        <v>1822</v>
      </c>
    </row>
    <row r="35" spans="1:172" ht="12" customHeight="1" x14ac:dyDescent="0.2">
      <c r="A35" s="42" t="s">
        <v>45</v>
      </c>
      <c r="B35" s="48"/>
      <c r="C35" s="5"/>
      <c r="D35" s="4"/>
      <c r="E35" s="7"/>
      <c r="F35" s="44"/>
      <c r="G35" s="9"/>
      <c r="H35" s="7"/>
      <c r="I35" s="6"/>
      <c r="J35" s="7"/>
      <c r="K35" s="53"/>
      <c r="L35" s="188"/>
      <c r="M35" s="7"/>
      <c r="N35" s="6"/>
      <c r="O35" s="7"/>
      <c r="P35" s="187"/>
      <c r="Q35" s="9"/>
      <c r="R35" s="7"/>
      <c r="S35" s="6"/>
      <c r="T35" s="7"/>
      <c r="U35" s="29"/>
      <c r="V35" s="126">
        <v>26</v>
      </c>
      <c r="W35" s="102">
        <v>170</v>
      </c>
      <c r="X35" s="100">
        <f t="shared" si="29"/>
        <v>58</v>
      </c>
      <c r="Y35" s="102">
        <v>18</v>
      </c>
      <c r="Z35" s="113">
        <f t="shared" ref="Z35:Z46" si="46">SUM(V35+W35)</f>
        <v>196</v>
      </c>
      <c r="AA35" s="175">
        <v>13</v>
      </c>
      <c r="AB35" s="102">
        <v>94</v>
      </c>
      <c r="AC35" s="100">
        <f t="shared" si="30"/>
        <v>27</v>
      </c>
      <c r="AD35" s="102">
        <v>4</v>
      </c>
      <c r="AE35" s="159">
        <f t="shared" si="37"/>
        <v>107</v>
      </c>
      <c r="AF35" s="126">
        <v>95</v>
      </c>
      <c r="AG35" s="102">
        <v>395</v>
      </c>
      <c r="AH35" s="100">
        <f t="shared" si="31"/>
        <v>30</v>
      </c>
      <c r="AI35" s="102">
        <v>3</v>
      </c>
      <c r="AJ35" s="113">
        <f t="shared" si="38"/>
        <v>490</v>
      </c>
      <c r="AK35" s="175">
        <v>20</v>
      </c>
      <c r="AL35" s="102">
        <v>139</v>
      </c>
      <c r="AM35" s="100">
        <f t="shared" si="32"/>
        <v>45</v>
      </c>
      <c r="AN35" s="102">
        <v>3</v>
      </c>
      <c r="AO35" s="159">
        <f t="shared" si="39"/>
        <v>159</v>
      </c>
      <c r="AP35" s="126">
        <v>48</v>
      </c>
      <c r="AQ35" s="102">
        <v>352</v>
      </c>
      <c r="AR35" s="100">
        <f t="shared" si="33"/>
        <v>42</v>
      </c>
      <c r="AS35" s="102">
        <v>9</v>
      </c>
      <c r="AT35" s="113">
        <f t="shared" si="40"/>
        <v>400</v>
      </c>
      <c r="AU35" s="175">
        <v>101</v>
      </c>
      <c r="AV35" s="103">
        <v>209</v>
      </c>
      <c r="AW35" s="100">
        <f t="shared" si="35"/>
        <v>27</v>
      </c>
      <c r="AX35" s="102">
        <v>0</v>
      </c>
      <c r="AY35" s="159">
        <f t="shared" si="36"/>
        <v>310</v>
      </c>
      <c r="AZ35" s="126">
        <v>50</v>
      </c>
      <c r="BA35" s="103">
        <v>53</v>
      </c>
      <c r="BB35" s="100">
        <f t="shared" si="41"/>
        <v>36</v>
      </c>
      <c r="BC35" s="102">
        <v>0</v>
      </c>
      <c r="BD35" s="113">
        <f t="shared" si="42"/>
        <v>103</v>
      </c>
      <c r="BE35" s="175">
        <v>53</v>
      </c>
      <c r="BF35" s="102">
        <v>56</v>
      </c>
      <c r="BG35" s="100">
        <f t="shared" si="43"/>
        <v>14</v>
      </c>
      <c r="BH35" s="102">
        <v>0</v>
      </c>
      <c r="BI35" s="159">
        <f t="shared" si="44"/>
        <v>109</v>
      </c>
      <c r="BJ35" s="126"/>
      <c r="BK35" s="102"/>
      <c r="BL35" s="100"/>
      <c r="BM35" s="102"/>
      <c r="BN35" s="113"/>
      <c r="BO35" s="175"/>
      <c r="BP35" s="102"/>
      <c r="BQ35" s="102"/>
      <c r="BR35" s="102"/>
      <c r="BS35" s="102"/>
      <c r="BT35" s="165"/>
      <c r="BU35" s="126"/>
      <c r="BV35" s="175"/>
      <c r="BW35" s="175"/>
      <c r="BX35" s="175"/>
      <c r="BY35" s="175"/>
      <c r="BZ35" s="113"/>
      <c r="CA35" s="175"/>
      <c r="CB35" s="175"/>
      <c r="CC35" s="175"/>
      <c r="CD35" s="175"/>
      <c r="CE35" s="175"/>
      <c r="CF35" s="159"/>
      <c r="CG35" s="126"/>
      <c r="CH35" s="175"/>
      <c r="CI35" s="175"/>
      <c r="CJ35" s="175"/>
      <c r="CK35" s="175"/>
      <c r="CL35" s="113"/>
      <c r="CM35" s="175"/>
      <c r="CN35" s="175"/>
      <c r="CO35" s="175"/>
      <c r="CP35" s="175"/>
      <c r="CQ35" s="175"/>
      <c r="CR35" s="159"/>
      <c r="CS35" s="126"/>
      <c r="CT35" s="175"/>
      <c r="CU35" s="175"/>
      <c r="CV35" s="175"/>
      <c r="CW35" s="175"/>
      <c r="CX35" s="113"/>
      <c r="CY35" s="126"/>
      <c r="CZ35" s="175"/>
      <c r="DA35" s="175"/>
      <c r="DB35" s="175"/>
      <c r="DC35" s="175"/>
      <c r="DD35" s="113"/>
      <c r="DE35" s="175"/>
      <c r="DF35" s="175"/>
      <c r="DG35" s="175"/>
      <c r="DH35" s="175"/>
      <c r="DI35" s="175"/>
      <c r="DJ35" s="159"/>
      <c r="DK35" s="126"/>
      <c r="DL35" s="175"/>
      <c r="DM35" s="175"/>
      <c r="DN35" s="175"/>
      <c r="DO35" s="175"/>
      <c r="DP35" s="113"/>
      <c r="DQ35" s="175"/>
      <c r="DR35" s="175"/>
      <c r="DS35" s="175"/>
      <c r="DT35" s="175"/>
      <c r="DU35" s="175"/>
      <c r="DV35" s="159"/>
      <c r="DW35" s="126"/>
      <c r="DX35" s="175"/>
      <c r="DY35" s="175"/>
      <c r="DZ35" s="175"/>
      <c r="EA35" s="175"/>
      <c r="EB35" s="113"/>
      <c r="EC35" s="126"/>
      <c r="ED35" s="175"/>
      <c r="EE35" s="175"/>
      <c r="EF35" s="175"/>
      <c r="EG35" s="175"/>
      <c r="EH35" s="113"/>
      <c r="EI35" s="126"/>
      <c r="EJ35" s="175"/>
      <c r="EK35" s="175"/>
      <c r="EL35" s="175"/>
      <c r="EM35" s="175"/>
      <c r="EN35" s="113"/>
      <c r="EO35" s="126"/>
      <c r="EP35" s="175"/>
      <c r="EQ35" s="175"/>
      <c r="ER35" s="175"/>
      <c r="ES35" s="175"/>
      <c r="ET35" s="113"/>
      <c r="EU35" s="159"/>
      <c r="EV35" s="159"/>
      <c r="EW35" s="159"/>
      <c r="EX35" s="159"/>
      <c r="EY35" s="159"/>
      <c r="EZ35" s="159"/>
      <c r="FA35" s="171">
        <f t="shared" si="13"/>
        <v>406</v>
      </c>
      <c r="FB35" s="100">
        <f t="shared" si="5"/>
        <v>1468</v>
      </c>
      <c r="FC35" s="100"/>
      <c r="FD35" s="100">
        <f t="shared" si="34"/>
        <v>279</v>
      </c>
      <c r="FE35" s="141">
        <f t="shared" si="14"/>
        <v>37</v>
      </c>
      <c r="FF35" s="138">
        <f t="shared" si="45"/>
        <v>1874</v>
      </c>
    </row>
    <row r="36" spans="1:172" ht="12" customHeight="1" x14ac:dyDescent="0.2">
      <c r="A36" s="42" t="s">
        <v>46</v>
      </c>
      <c r="B36" s="48"/>
      <c r="C36" s="5"/>
      <c r="D36" s="4"/>
      <c r="E36" s="7"/>
      <c r="F36" s="44"/>
      <c r="G36" s="9"/>
      <c r="H36" s="7"/>
      <c r="I36" s="6"/>
      <c r="J36" s="7"/>
      <c r="K36" s="53"/>
      <c r="L36" s="188"/>
      <c r="M36" s="7"/>
      <c r="N36" s="6"/>
      <c r="O36" s="7"/>
      <c r="P36" s="187"/>
      <c r="Q36" s="9"/>
      <c r="R36" s="7"/>
      <c r="S36" s="6"/>
      <c r="T36" s="7"/>
      <c r="U36" s="29"/>
      <c r="V36" s="126">
        <v>91</v>
      </c>
      <c r="W36" s="102">
        <v>169</v>
      </c>
      <c r="X36" s="100">
        <f t="shared" si="29"/>
        <v>9</v>
      </c>
      <c r="Y36" s="102">
        <v>24</v>
      </c>
      <c r="Z36" s="113">
        <f t="shared" si="46"/>
        <v>260</v>
      </c>
      <c r="AA36" s="175">
        <v>43</v>
      </c>
      <c r="AB36" s="102">
        <v>91</v>
      </c>
      <c r="AC36" s="100">
        <f t="shared" si="30"/>
        <v>12</v>
      </c>
      <c r="AD36" s="102">
        <v>4</v>
      </c>
      <c r="AE36" s="159">
        <f t="shared" si="37"/>
        <v>134</v>
      </c>
      <c r="AF36" s="126">
        <v>132</v>
      </c>
      <c r="AG36" s="102">
        <v>449</v>
      </c>
      <c r="AH36" s="100">
        <f t="shared" si="31"/>
        <v>38</v>
      </c>
      <c r="AI36" s="102">
        <v>18</v>
      </c>
      <c r="AJ36" s="113">
        <f t="shared" si="38"/>
        <v>581</v>
      </c>
      <c r="AK36" s="175">
        <v>98</v>
      </c>
      <c r="AL36" s="102">
        <v>136</v>
      </c>
      <c r="AM36" s="100">
        <f t="shared" si="32"/>
        <v>20</v>
      </c>
      <c r="AN36" s="102">
        <v>5</v>
      </c>
      <c r="AO36" s="159">
        <f t="shared" si="39"/>
        <v>234</v>
      </c>
      <c r="AP36" s="126">
        <v>136</v>
      </c>
      <c r="AQ36" s="102">
        <v>351</v>
      </c>
      <c r="AR36" s="100">
        <f t="shared" si="33"/>
        <v>40</v>
      </c>
      <c r="AS36" s="102">
        <v>0</v>
      </c>
      <c r="AT36" s="113">
        <f t="shared" si="40"/>
        <v>487</v>
      </c>
      <c r="AU36" s="175">
        <v>92</v>
      </c>
      <c r="AV36" s="103">
        <v>286</v>
      </c>
      <c r="AW36" s="100">
        <f t="shared" si="35"/>
        <v>24</v>
      </c>
      <c r="AX36" s="102">
        <v>0</v>
      </c>
      <c r="AY36" s="159">
        <f t="shared" si="36"/>
        <v>378</v>
      </c>
      <c r="AZ36" s="126">
        <v>88</v>
      </c>
      <c r="BA36" s="103">
        <v>81</v>
      </c>
      <c r="BB36" s="100">
        <f t="shared" si="41"/>
        <v>22</v>
      </c>
      <c r="BC36" s="102">
        <v>0</v>
      </c>
      <c r="BD36" s="113">
        <f t="shared" si="42"/>
        <v>169</v>
      </c>
      <c r="BE36" s="175">
        <v>41</v>
      </c>
      <c r="BF36" s="102">
        <v>89</v>
      </c>
      <c r="BG36" s="100">
        <f t="shared" si="43"/>
        <v>20</v>
      </c>
      <c r="BH36" s="102">
        <v>0</v>
      </c>
      <c r="BI36" s="159">
        <f t="shared" si="44"/>
        <v>130</v>
      </c>
      <c r="BJ36" s="126"/>
      <c r="BK36" s="102"/>
      <c r="BL36" s="100"/>
      <c r="BM36" s="102"/>
      <c r="BN36" s="113"/>
      <c r="BO36" s="175"/>
      <c r="BP36" s="102"/>
      <c r="BQ36" s="102"/>
      <c r="BR36" s="102"/>
      <c r="BS36" s="102"/>
      <c r="BT36" s="165"/>
      <c r="BU36" s="126"/>
      <c r="BV36" s="175"/>
      <c r="BW36" s="175"/>
      <c r="BX36" s="175"/>
      <c r="BY36" s="175"/>
      <c r="BZ36" s="113"/>
      <c r="CA36" s="175"/>
      <c r="CB36" s="175"/>
      <c r="CC36" s="175"/>
      <c r="CD36" s="175"/>
      <c r="CE36" s="175"/>
      <c r="CF36" s="159"/>
      <c r="CG36" s="126"/>
      <c r="CH36" s="175"/>
      <c r="CI36" s="175"/>
      <c r="CJ36" s="175"/>
      <c r="CK36" s="175"/>
      <c r="CL36" s="113"/>
      <c r="CM36" s="175"/>
      <c r="CN36" s="175"/>
      <c r="CO36" s="175"/>
      <c r="CP36" s="175"/>
      <c r="CQ36" s="175"/>
      <c r="CR36" s="159"/>
      <c r="CS36" s="126"/>
      <c r="CT36" s="175"/>
      <c r="CU36" s="175"/>
      <c r="CV36" s="175"/>
      <c r="CW36" s="175"/>
      <c r="CX36" s="113"/>
      <c r="CY36" s="126"/>
      <c r="CZ36" s="175"/>
      <c r="DA36" s="175"/>
      <c r="DB36" s="175"/>
      <c r="DC36" s="175"/>
      <c r="DD36" s="113"/>
      <c r="DE36" s="175"/>
      <c r="DF36" s="175"/>
      <c r="DG36" s="175"/>
      <c r="DH36" s="175"/>
      <c r="DI36" s="175"/>
      <c r="DJ36" s="159"/>
      <c r="DK36" s="126"/>
      <c r="DL36" s="175"/>
      <c r="DM36" s="175"/>
      <c r="DN36" s="175"/>
      <c r="DO36" s="175"/>
      <c r="DP36" s="113"/>
      <c r="DQ36" s="175"/>
      <c r="DR36" s="175"/>
      <c r="DS36" s="175"/>
      <c r="DT36" s="175"/>
      <c r="DU36" s="175"/>
      <c r="DV36" s="159"/>
      <c r="DW36" s="126"/>
      <c r="DX36" s="175"/>
      <c r="DY36" s="175"/>
      <c r="DZ36" s="175"/>
      <c r="EA36" s="175"/>
      <c r="EB36" s="113"/>
      <c r="EC36" s="126"/>
      <c r="ED36" s="175"/>
      <c r="EE36" s="175"/>
      <c r="EF36" s="175"/>
      <c r="EG36" s="175"/>
      <c r="EH36" s="113"/>
      <c r="EI36" s="126"/>
      <c r="EJ36" s="175"/>
      <c r="EK36" s="175"/>
      <c r="EL36" s="175"/>
      <c r="EM36" s="175"/>
      <c r="EN36" s="113"/>
      <c r="EO36" s="126"/>
      <c r="EP36" s="175"/>
      <c r="EQ36" s="175"/>
      <c r="ER36" s="175"/>
      <c r="ES36" s="175"/>
      <c r="ET36" s="113"/>
      <c r="EU36" s="159"/>
      <c r="EV36" s="159"/>
      <c r="EW36" s="159"/>
      <c r="EX36" s="159"/>
      <c r="EY36" s="159"/>
      <c r="EZ36" s="159"/>
      <c r="FA36" s="171">
        <f t="shared" si="13"/>
        <v>721</v>
      </c>
      <c r="FB36" s="100">
        <f t="shared" si="5"/>
        <v>1652</v>
      </c>
      <c r="FC36" s="100"/>
      <c r="FD36" s="100">
        <f t="shared" si="34"/>
        <v>185</v>
      </c>
      <c r="FE36" s="141">
        <f t="shared" si="14"/>
        <v>51</v>
      </c>
      <c r="FF36" s="138">
        <f t="shared" si="45"/>
        <v>2373</v>
      </c>
    </row>
    <row r="37" spans="1:172" ht="12" customHeight="1" x14ac:dyDescent="0.2">
      <c r="A37" s="42" t="s">
        <v>47</v>
      </c>
      <c r="B37" s="48"/>
      <c r="C37" s="5"/>
      <c r="D37" s="4"/>
      <c r="E37" s="7"/>
      <c r="F37" s="44"/>
      <c r="G37" s="9"/>
      <c r="H37" s="7"/>
      <c r="I37" s="6"/>
      <c r="J37" s="7"/>
      <c r="K37" s="53"/>
      <c r="L37" s="188"/>
      <c r="M37" s="7"/>
      <c r="N37" s="6"/>
      <c r="O37" s="7"/>
      <c r="P37" s="187"/>
      <c r="Q37" s="9"/>
      <c r="R37" s="7"/>
      <c r="S37" s="6"/>
      <c r="T37" s="7"/>
      <c r="U37" s="29"/>
      <c r="V37" s="126">
        <v>7</v>
      </c>
      <c r="W37" s="102">
        <v>207</v>
      </c>
      <c r="X37" s="100">
        <f t="shared" si="29"/>
        <v>29</v>
      </c>
      <c r="Y37" s="102">
        <v>14</v>
      </c>
      <c r="Z37" s="113">
        <f t="shared" si="46"/>
        <v>214</v>
      </c>
      <c r="AA37" s="175">
        <v>0</v>
      </c>
      <c r="AB37" s="102">
        <v>101</v>
      </c>
      <c r="AC37" s="100">
        <f t="shared" si="30"/>
        <v>29</v>
      </c>
      <c r="AD37" s="102">
        <v>6</v>
      </c>
      <c r="AE37" s="159">
        <f t="shared" si="37"/>
        <v>101</v>
      </c>
      <c r="AF37" s="126">
        <v>97</v>
      </c>
      <c r="AG37" s="102">
        <v>537</v>
      </c>
      <c r="AH37" s="100">
        <f t="shared" si="31"/>
        <v>26</v>
      </c>
      <c r="AI37" s="102">
        <v>14</v>
      </c>
      <c r="AJ37" s="113">
        <f t="shared" si="38"/>
        <v>634</v>
      </c>
      <c r="AK37" s="175">
        <v>47</v>
      </c>
      <c r="AL37" s="102">
        <v>202</v>
      </c>
      <c r="AM37" s="100">
        <f t="shared" si="32"/>
        <v>27</v>
      </c>
      <c r="AN37" s="102">
        <v>12</v>
      </c>
      <c r="AO37" s="159">
        <f t="shared" si="39"/>
        <v>249</v>
      </c>
      <c r="AP37" s="126">
        <v>49</v>
      </c>
      <c r="AQ37" s="102">
        <v>383</v>
      </c>
      <c r="AR37" s="100">
        <f t="shared" si="33"/>
        <v>104</v>
      </c>
      <c r="AS37" s="102">
        <v>17</v>
      </c>
      <c r="AT37" s="113">
        <f t="shared" si="40"/>
        <v>432</v>
      </c>
      <c r="AU37" s="175">
        <v>48</v>
      </c>
      <c r="AV37" s="103">
        <v>358</v>
      </c>
      <c r="AW37" s="100">
        <f t="shared" si="35"/>
        <v>20</v>
      </c>
      <c r="AX37" s="102">
        <v>0</v>
      </c>
      <c r="AY37" s="159">
        <f t="shared" si="36"/>
        <v>406</v>
      </c>
      <c r="AZ37" s="126">
        <v>50</v>
      </c>
      <c r="BA37" s="103">
        <v>153</v>
      </c>
      <c r="BB37" s="100">
        <f t="shared" si="41"/>
        <v>16</v>
      </c>
      <c r="BC37" s="102">
        <v>0</v>
      </c>
      <c r="BD37" s="113">
        <f t="shared" si="42"/>
        <v>203</v>
      </c>
      <c r="BE37" s="175">
        <v>0</v>
      </c>
      <c r="BF37" s="102">
        <v>103</v>
      </c>
      <c r="BG37" s="100">
        <f t="shared" si="43"/>
        <v>27</v>
      </c>
      <c r="BH37" s="102">
        <v>0</v>
      </c>
      <c r="BI37" s="159">
        <f t="shared" si="44"/>
        <v>103</v>
      </c>
      <c r="BJ37" s="126"/>
      <c r="BK37" s="102"/>
      <c r="BL37" s="100"/>
      <c r="BM37" s="102"/>
      <c r="BN37" s="113"/>
      <c r="BO37" s="175"/>
      <c r="BP37" s="102"/>
      <c r="BQ37" s="102"/>
      <c r="BR37" s="102"/>
      <c r="BS37" s="102"/>
      <c r="BT37" s="165"/>
      <c r="BU37" s="126"/>
      <c r="BV37" s="175"/>
      <c r="BW37" s="175"/>
      <c r="BX37" s="175"/>
      <c r="BY37" s="175"/>
      <c r="BZ37" s="113"/>
      <c r="CA37" s="175"/>
      <c r="CB37" s="175"/>
      <c r="CC37" s="175"/>
      <c r="CD37" s="175"/>
      <c r="CE37" s="175"/>
      <c r="CF37" s="159"/>
      <c r="CG37" s="126"/>
      <c r="CH37" s="175"/>
      <c r="CI37" s="175"/>
      <c r="CJ37" s="175"/>
      <c r="CK37" s="175"/>
      <c r="CL37" s="113"/>
      <c r="CM37" s="175"/>
      <c r="CN37" s="175"/>
      <c r="CO37" s="175"/>
      <c r="CP37" s="175"/>
      <c r="CQ37" s="175"/>
      <c r="CR37" s="159"/>
      <c r="CS37" s="126"/>
      <c r="CT37" s="175"/>
      <c r="CU37" s="175"/>
      <c r="CV37" s="175"/>
      <c r="CW37" s="175"/>
      <c r="CX37" s="113"/>
      <c r="CY37" s="126"/>
      <c r="CZ37" s="175"/>
      <c r="DA37" s="175"/>
      <c r="DB37" s="175"/>
      <c r="DC37" s="175"/>
      <c r="DD37" s="113"/>
      <c r="DE37" s="175"/>
      <c r="DF37" s="175"/>
      <c r="DG37" s="175"/>
      <c r="DH37" s="175"/>
      <c r="DI37" s="175"/>
      <c r="DJ37" s="159"/>
      <c r="DK37" s="126"/>
      <c r="DL37" s="175"/>
      <c r="DM37" s="175"/>
      <c r="DN37" s="175"/>
      <c r="DO37" s="175"/>
      <c r="DP37" s="113"/>
      <c r="DQ37" s="175"/>
      <c r="DR37" s="175"/>
      <c r="DS37" s="175"/>
      <c r="DT37" s="175"/>
      <c r="DU37" s="175"/>
      <c r="DV37" s="159"/>
      <c r="DW37" s="126"/>
      <c r="DX37" s="175"/>
      <c r="DY37" s="175"/>
      <c r="DZ37" s="175"/>
      <c r="EA37" s="175"/>
      <c r="EB37" s="113"/>
      <c r="EC37" s="126"/>
      <c r="ED37" s="175"/>
      <c r="EE37" s="175"/>
      <c r="EF37" s="175"/>
      <c r="EG37" s="175"/>
      <c r="EH37" s="113"/>
      <c r="EI37" s="126"/>
      <c r="EJ37" s="175"/>
      <c r="EK37" s="175"/>
      <c r="EL37" s="175"/>
      <c r="EM37" s="175"/>
      <c r="EN37" s="113"/>
      <c r="EO37" s="126"/>
      <c r="EP37" s="175"/>
      <c r="EQ37" s="175"/>
      <c r="ER37" s="175"/>
      <c r="ES37" s="175"/>
      <c r="ET37" s="113"/>
      <c r="EU37" s="159"/>
      <c r="EV37" s="159"/>
      <c r="EW37" s="159"/>
      <c r="EX37" s="159"/>
      <c r="EY37" s="159"/>
      <c r="EZ37" s="159"/>
      <c r="FA37" s="171">
        <f t="shared" si="13"/>
        <v>298</v>
      </c>
      <c r="FB37" s="100">
        <f t="shared" si="5"/>
        <v>2044</v>
      </c>
      <c r="FC37" s="100"/>
      <c r="FD37" s="100">
        <f t="shared" si="34"/>
        <v>278</v>
      </c>
      <c r="FE37" s="141">
        <f t="shared" si="14"/>
        <v>63</v>
      </c>
      <c r="FF37" s="138">
        <f t="shared" si="45"/>
        <v>2342</v>
      </c>
    </row>
    <row r="38" spans="1:172" ht="12" customHeight="1" x14ac:dyDescent="0.2">
      <c r="A38" s="42" t="s">
        <v>48</v>
      </c>
      <c r="B38" s="48"/>
      <c r="C38" s="5"/>
      <c r="D38" s="4"/>
      <c r="E38" s="7"/>
      <c r="F38" s="44"/>
      <c r="G38" s="9"/>
      <c r="H38" s="7"/>
      <c r="I38" s="6"/>
      <c r="J38" s="7"/>
      <c r="K38" s="53"/>
      <c r="L38" s="188"/>
      <c r="M38" s="7"/>
      <c r="N38" s="6"/>
      <c r="O38" s="7"/>
      <c r="P38" s="187"/>
      <c r="Q38" s="9"/>
      <c r="R38" s="7"/>
      <c r="S38" s="6"/>
      <c r="T38" s="7"/>
      <c r="U38" s="29"/>
      <c r="V38" s="126">
        <v>98</v>
      </c>
      <c r="W38" s="102">
        <v>179</v>
      </c>
      <c r="X38" s="100">
        <f t="shared" si="29"/>
        <v>21</v>
      </c>
      <c r="Y38" s="102">
        <v>14</v>
      </c>
      <c r="Z38" s="113">
        <f t="shared" si="46"/>
        <v>277</v>
      </c>
      <c r="AA38" s="175">
        <v>74</v>
      </c>
      <c r="AB38" s="102">
        <v>83</v>
      </c>
      <c r="AC38" s="100">
        <f t="shared" si="30"/>
        <v>12</v>
      </c>
      <c r="AD38" s="102">
        <v>8</v>
      </c>
      <c r="AE38" s="159">
        <f t="shared" si="37"/>
        <v>157</v>
      </c>
      <c r="AF38" s="126">
        <v>97</v>
      </c>
      <c r="AG38" s="102">
        <v>571</v>
      </c>
      <c r="AH38" s="100">
        <f t="shared" si="31"/>
        <v>49</v>
      </c>
      <c r="AI38" s="102">
        <v>50</v>
      </c>
      <c r="AJ38" s="113">
        <f t="shared" si="38"/>
        <v>668</v>
      </c>
      <c r="AK38" s="175">
        <v>92</v>
      </c>
      <c r="AL38" s="102">
        <v>194</v>
      </c>
      <c r="AM38" s="100">
        <f t="shared" si="32"/>
        <v>43</v>
      </c>
      <c r="AN38" s="102">
        <v>5</v>
      </c>
      <c r="AO38" s="159">
        <f t="shared" si="39"/>
        <v>286</v>
      </c>
      <c r="AP38" s="126">
        <v>85</v>
      </c>
      <c r="AQ38" s="102">
        <v>354</v>
      </c>
      <c r="AR38" s="100">
        <f t="shared" si="33"/>
        <v>61</v>
      </c>
      <c r="AS38" s="102">
        <v>21</v>
      </c>
      <c r="AT38" s="113">
        <f t="shared" si="40"/>
        <v>439</v>
      </c>
      <c r="AU38" s="175">
        <v>93</v>
      </c>
      <c r="AV38" s="103">
        <v>388</v>
      </c>
      <c r="AW38" s="100">
        <f t="shared" si="35"/>
        <v>18</v>
      </c>
      <c r="AX38" s="102">
        <v>0</v>
      </c>
      <c r="AY38" s="159">
        <f t="shared" si="36"/>
        <v>481</v>
      </c>
      <c r="AZ38" s="126">
        <v>91</v>
      </c>
      <c r="BA38" s="103">
        <v>163</v>
      </c>
      <c r="BB38" s="100">
        <f t="shared" si="41"/>
        <v>40</v>
      </c>
      <c r="BC38" s="102">
        <v>0</v>
      </c>
      <c r="BD38" s="113">
        <f t="shared" si="42"/>
        <v>254</v>
      </c>
      <c r="BE38" s="175">
        <v>43</v>
      </c>
      <c r="BF38" s="102">
        <v>88</v>
      </c>
      <c r="BG38" s="100">
        <f t="shared" si="43"/>
        <v>15</v>
      </c>
      <c r="BH38" s="102">
        <v>0</v>
      </c>
      <c r="BI38" s="159">
        <f t="shared" si="44"/>
        <v>131</v>
      </c>
      <c r="BJ38" s="126"/>
      <c r="BK38" s="102"/>
      <c r="BL38" s="100"/>
      <c r="BM38" s="102"/>
      <c r="BN38" s="113"/>
      <c r="BO38" s="175"/>
      <c r="BP38" s="102"/>
      <c r="BQ38" s="102"/>
      <c r="BR38" s="102"/>
      <c r="BS38" s="102"/>
      <c r="BT38" s="165"/>
      <c r="BU38" s="126"/>
      <c r="BV38" s="175"/>
      <c r="BW38" s="175"/>
      <c r="BX38" s="175"/>
      <c r="BY38" s="175"/>
      <c r="BZ38" s="113"/>
      <c r="CA38" s="175"/>
      <c r="CB38" s="175"/>
      <c r="CC38" s="175"/>
      <c r="CD38" s="175"/>
      <c r="CE38" s="175"/>
      <c r="CF38" s="159"/>
      <c r="CG38" s="126"/>
      <c r="CH38" s="175"/>
      <c r="CI38" s="175"/>
      <c r="CJ38" s="175"/>
      <c r="CK38" s="175"/>
      <c r="CL38" s="113"/>
      <c r="CM38" s="175"/>
      <c r="CN38" s="175"/>
      <c r="CO38" s="175"/>
      <c r="CP38" s="175"/>
      <c r="CQ38" s="175"/>
      <c r="CR38" s="159"/>
      <c r="CS38" s="126"/>
      <c r="CT38" s="175"/>
      <c r="CU38" s="175"/>
      <c r="CV38" s="175"/>
      <c r="CW38" s="175"/>
      <c r="CX38" s="113"/>
      <c r="CY38" s="126"/>
      <c r="CZ38" s="175"/>
      <c r="DA38" s="175"/>
      <c r="DB38" s="175"/>
      <c r="DC38" s="175"/>
      <c r="DD38" s="113"/>
      <c r="DE38" s="175"/>
      <c r="DF38" s="175"/>
      <c r="DG38" s="175"/>
      <c r="DH38" s="175"/>
      <c r="DI38" s="175"/>
      <c r="DJ38" s="159"/>
      <c r="DK38" s="126"/>
      <c r="DL38" s="175"/>
      <c r="DM38" s="175"/>
      <c r="DN38" s="175"/>
      <c r="DO38" s="175"/>
      <c r="DP38" s="113"/>
      <c r="DQ38" s="175"/>
      <c r="DR38" s="175"/>
      <c r="DS38" s="175"/>
      <c r="DT38" s="175"/>
      <c r="DU38" s="175"/>
      <c r="DV38" s="159"/>
      <c r="DW38" s="126"/>
      <c r="DX38" s="175"/>
      <c r="DY38" s="175"/>
      <c r="DZ38" s="175"/>
      <c r="EA38" s="175"/>
      <c r="EB38" s="113"/>
      <c r="EC38" s="126"/>
      <c r="ED38" s="175"/>
      <c r="EE38" s="175"/>
      <c r="EF38" s="175"/>
      <c r="EG38" s="175"/>
      <c r="EH38" s="113"/>
      <c r="EI38" s="126"/>
      <c r="EJ38" s="175"/>
      <c r="EK38" s="175"/>
      <c r="EL38" s="175"/>
      <c r="EM38" s="175"/>
      <c r="EN38" s="113"/>
      <c r="EO38" s="126"/>
      <c r="EP38" s="175"/>
      <c r="EQ38" s="175"/>
      <c r="ER38" s="175"/>
      <c r="ES38" s="175"/>
      <c r="ET38" s="113"/>
      <c r="EU38" s="159"/>
      <c r="EV38" s="159"/>
      <c r="EW38" s="159"/>
      <c r="EX38" s="159"/>
      <c r="EY38" s="159"/>
      <c r="EZ38" s="159"/>
      <c r="FA38" s="171">
        <f t="shared" si="13"/>
        <v>673</v>
      </c>
      <c r="FB38" s="100">
        <f t="shared" si="5"/>
        <v>2020</v>
      </c>
      <c r="FC38" s="100"/>
      <c r="FD38" s="100">
        <f t="shared" si="34"/>
        <v>259</v>
      </c>
      <c r="FE38" s="141">
        <f t="shared" si="14"/>
        <v>98</v>
      </c>
      <c r="FF38" s="138">
        <f t="shared" si="45"/>
        <v>2693</v>
      </c>
    </row>
    <row r="39" spans="1:172" ht="12" customHeight="1" x14ac:dyDescent="0.2">
      <c r="A39" s="42" t="s">
        <v>49</v>
      </c>
      <c r="B39" s="48"/>
      <c r="C39" s="5"/>
      <c r="D39" s="4"/>
      <c r="E39" s="7"/>
      <c r="F39" s="44"/>
      <c r="G39" s="9"/>
      <c r="H39" s="7"/>
      <c r="I39" s="6"/>
      <c r="J39" s="7"/>
      <c r="K39" s="53"/>
      <c r="L39" s="188"/>
      <c r="M39" s="7"/>
      <c r="N39" s="6"/>
      <c r="O39" s="7"/>
      <c r="P39" s="187"/>
      <c r="Q39" s="9"/>
      <c r="R39" s="7"/>
      <c r="S39" s="6"/>
      <c r="T39" s="7"/>
      <c r="U39" s="29"/>
      <c r="V39" s="126">
        <v>42</v>
      </c>
      <c r="W39" s="102">
        <v>228</v>
      </c>
      <c r="X39" s="100">
        <f t="shared" si="29"/>
        <v>35</v>
      </c>
      <c r="Y39" s="102">
        <v>6</v>
      </c>
      <c r="Z39" s="113">
        <f t="shared" si="46"/>
        <v>270</v>
      </c>
      <c r="AA39" s="175">
        <v>26</v>
      </c>
      <c r="AB39" s="102">
        <v>118</v>
      </c>
      <c r="AC39" s="100">
        <f t="shared" si="30"/>
        <v>31</v>
      </c>
      <c r="AD39" s="102">
        <v>0</v>
      </c>
      <c r="AE39" s="159">
        <f t="shared" si="37"/>
        <v>144</v>
      </c>
      <c r="AF39" s="126">
        <v>102</v>
      </c>
      <c r="AG39" s="102">
        <v>575</v>
      </c>
      <c r="AH39" s="100">
        <f t="shared" si="31"/>
        <v>43</v>
      </c>
      <c r="AI39" s="102">
        <v>15</v>
      </c>
      <c r="AJ39" s="113">
        <f t="shared" si="38"/>
        <v>677</v>
      </c>
      <c r="AK39" s="175">
        <v>46</v>
      </c>
      <c r="AL39" s="102">
        <v>237</v>
      </c>
      <c r="AM39" s="100">
        <f t="shared" si="32"/>
        <v>44</v>
      </c>
      <c r="AN39" s="102">
        <v>7</v>
      </c>
      <c r="AO39" s="159">
        <f t="shared" si="39"/>
        <v>283</v>
      </c>
      <c r="AP39" s="126">
        <v>43</v>
      </c>
      <c r="AQ39" s="102">
        <v>362</v>
      </c>
      <c r="AR39" s="100">
        <f t="shared" si="33"/>
        <v>56</v>
      </c>
      <c r="AS39" s="102">
        <v>14</v>
      </c>
      <c r="AT39" s="113">
        <f t="shared" si="40"/>
        <v>405</v>
      </c>
      <c r="AU39" s="175">
        <v>46</v>
      </c>
      <c r="AV39" s="103">
        <v>458</v>
      </c>
      <c r="AW39" s="100">
        <f t="shared" si="35"/>
        <v>23</v>
      </c>
      <c r="AX39" s="102">
        <v>0</v>
      </c>
      <c r="AY39" s="159">
        <f t="shared" si="36"/>
        <v>504</v>
      </c>
      <c r="AZ39" s="126">
        <v>42</v>
      </c>
      <c r="BA39" s="103">
        <v>200</v>
      </c>
      <c r="BB39" s="100">
        <f t="shared" si="41"/>
        <v>54</v>
      </c>
      <c r="BC39" s="102">
        <v>0</v>
      </c>
      <c r="BD39" s="113">
        <f t="shared" si="42"/>
        <v>242</v>
      </c>
      <c r="BE39" s="175">
        <v>27</v>
      </c>
      <c r="BF39" s="102">
        <v>104</v>
      </c>
      <c r="BG39" s="100">
        <f t="shared" si="43"/>
        <v>27</v>
      </c>
      <c r="BH39" s="102">
        <v>0</v>
      </c>
      <c r="BI39" s="159">
        <f t="shared" si="44"/>
        <v>131</v>
      </c>
      <c r="BJ39" s="126"/>
      <c r="BK39" s="102"/>
      <c r="BL39" s="100"/>
      <c r="BM39" s="102"/>
      <c r="BN39" s="113"/>
      <c r="BO39" s="175"/>
      <c r="BP39" s="102"/>
      <c r="BQ39" s="102"/>
      <c r="BR39" s="102"/>
      <c r="BS39" s="102"/>
      <c r="BT39" s="165"/>
      <c r="BU39" s="126"/>
      <c r="BV39" s="175"/>
      <c r="BW39" s="175"/>
      <c r="BX39" s="175"/>
      <c r="BY39" s="175"/>
      <c r="BZ39" s="113"/>
      <c r="CA39" s="175"/>
      <c r="CB39" s="175"/>
      <c r="CC39" s="175"/>
      <c r="CD39" s="175"/>
      <c r="CE39" s="175"/>
      <c r="CF39" s="159"/>
      <c r="CG39" s="126"/>
      <c r="CH39" s="175"/>
      <c r="CI39" s="175"/>
      <c r="CJ39" s="175"/>
      <c r="CK39" s="175"/>
      <c r="CL39" s="113"/>
      <c r="CM39" s="175"/>
      <c r="CN39" s="175"/>
      <c r="CO39" s="175"/>
      <c r="CP39" s="175"/>
      <c r="CQ39" s="175"/>
      <c r="CR39" s="159"/>
      <c r="CS39" s="126"/>
      <c r="CT39" s="175"/>
      <c r="CU39" s="175"/>
      <c r="CV39" s="175"/>
      <c r="CW39" s="175"/>
      <c r="CX39" s="113"/>
      <c r="CY39" s="126"/>
      <c r="CZ39" s="175"/>
      <c r="DA39" s="175"/>
      <c r="DB39" s="175"/>
      <c r="DC39" s="175"/>
      <c r="DD39" s="113"/>
      <c r="DE39" s="175"/>
      <c r="DF39" s="175"/>
      <c r="DG39" s="175"/>
      <c r="DH39" s="175"/>
      <c r="DI39" s="175"/>
      <c r="DJ39" s="159"/>
      <c r="DK39" s="126"/>
      <c r="DL39" s="175"/>
      <c r="DM39" s="175"/>
      <c r="DN39" s="175"/>
      <c r="DO39" s="175"/>
      <c r="DP39" s="113"/>
      <c r="DQ39" s="175"/>
      <c r="DR39" s="175"/>
      <c r="DS39" s="175"/>
      <c r="DT39" s="175"/>
      <c r="DU39" s="175"/>
      <c r="DV39" s="159"/>
      <c r="DW39" s="126"/>
      <c r="DX39" s="175"/>
      <c r="DY39" s="175"/>
      <c r="DZ39" s="175"/>
      <c r="EA39" s="175"/>
      <c r="EB39" s="113"/>
      <c r="EC39" s="126"/>
      <c r="ED39" s="175"/>
      <c r="EE39" s="175"/>
      <c r="EF39" s="175"/>
      <c r="EG39" s="175"/>
      <c r="EH39" s="113"/>
      <c r="EI39" s="126"/>
      <c r="EJ39" s="175"/>
      <c r="EK39" s="175"/>
      <c r="EL39" s="175"/>
      <c r="EM39" s="175"/>
      <c r="EN39" s="113"/>
      <c r="EO39" s="126"/>
      <c r="EP39" s="175"/>
      <c r="EQ39" s="175"/>
      <c r="ER39" s="175"/>
      <c r="ES39" s="175"/>
      <c r="ET39" s="113"/>
      <c r="EU39" s="159"/>
      <c r="EV39" s="159"/>
      <c r="EW39" s="159"/>
      <c r="EX39" s="159"/>
      <c r="EY39" s="159"/>
      <c r="EZ39" s="159"/>
      <c r="FA39" s="171">
        <f t="shared" si="13"/>
        <v>374</v>
      </c>
      <c r="FB39" s="100">
        <f t="shared" si="5"/>
        <v>2282</v>
      </c>
      <c r="FC39" s="100"/>
      <c r="FD39" s="100">
        <f t="shared" si="34"/>
        <v>313</v>
      </c>
      <c r="FE39" s="141">
        <f t="shared" si="14"/>
        <v>42</v>
      </c>
      <c r="FF39" s="138">
        <f t="shared" si="45"/>
        <v>2656</v>
      </c>
    </row>
    <row r="40" spans="1:172" ht="12" customHeight="1" x14ac:dyDescent="0.2">
      <c r="A40" s="42" t="s">
        <v>50</v>
      </c>
      <c r="B40" s="48"/>
      <c r="C40" s="5"/>
      <c r="D40" s="4"/>
      <c r="E40" s="7"/>
      <c r="F40" s="44"/>
      <c r="G40" s="9"/>
      <c r="H40" s="7"/>
      <c r="I40" s="6"/>
      <c r="J40" s="7"/>
      <c r="K40" s="53"/>
      <c r="L40" s="188"/>
      <c r="M40" s="7"/>
      <c r="N40" s="6"/>
      <c r="O40" s="7"/>
      <c r="P40" s="187"/>
      <c r="Q40" s="9"/>
      <c r="R40" s="7"/>
      <c r="S40" s="6"/>
      <c r="T40" s="7"/>
      <c r="U40" s="29"/>
      <c r="V40" s="126">
        <v>78</v>
      </c>
      <c r="W40" s="102">
        <v>236</v>
      </c>
      <c r="X40" s="100">
        <f t="shared" si="29"/>
        <v>28</v>
      </c>
      <c r="Y40" s="102">
        <v>13</v>
      </c>
      <c r="Z40" s="113">
        <f t="shared" si="46"/>
        <v>314</v>
      </c>
      <c r="AA40" s="175">
        <v>38</v>
      </c>
      <c r="AB40" s="102">
        <v>117</v>
      </c>
      <c r="AC40" s="100">
        <f t="shared" si="30"/>
        <v>27</v>
      </c>
      <c r="AD40" s="102">
        <v>11</v>
      </c>
      <c r="AE40" s="159">
        <f t="shared" si="37"/>
        <v>155</v>
      </c>
      <c r="AF40" s="126">
        <v>126</v>
      </c>
      <c r="AG40" s="102">
        <v>651</v>
      </c>
      <c r="AH40" s="100">
        <f t="shared" si="31"/>
        <v>11</v>
      </c>
      <c r="AI40" s="102">
        <v>54</v>
      </c>
      <c r="AJ40" s="113">
        <f t="shared" si="38"/>
        <v>777</v>
      </c>
      <c r="AK40" s="175">
        <v>81</v>
      </c>
      <c r="AL40" s="102">
        <v>230</v>
      </c>
      <c r="AM40" s="100">
        <f t="shared" si="32"/>
        <v>46</v>
      </c>
      <c r="AN40" s="102">
        <v>10</v>
      </c>
      <c r="AO40" s="159">
        <f t="shared" si="39"/>
        <v>311</v>
      </c>
      <c r="AP40" s="126">
        <v>45</v>
      </c>
      <c r="AQ40" s="102">
        <v>343</v>
      </c>
      <c r="AR40" s="100">
        <f t="shared" si="33"/>
        <v>48</v>
      </c>
      <c r="AS40" s="102">
        <v>15</v>
      </c>
      <c r="AT40" s="113">
        <f t="shared" si="40"/>
        <v>388</v>
      </c>
      <c r="AU40" s="175">
        <v>72</v>
      </c>
      <c r="AV40" s="103">
        <v>481</v>
      </c>
      <c r="AW40" s="100">
        <f t="shared" si="35"/>
        <v>23</v>
      </c>
      <c r="AX40" s="102">
        <v>0</v>
      </c>
      <c r="AY40" s="159">
        <f t="shared" si="36"/>
        <v>553</v>
      </c>
      <c r="AZ40" s="126">
        <v>82</v>
      </c>
      <c r="BA40" s="103">
        <v>199</v>
      </c>
      <c r="BB40" s="100">
        <f t="shared" si="41"/>
        <v>43</v>
      </c>
      <c r="BC40" s="102">
        <v>0</v>
      </c>
      <c r="BD40" s="113">
        <f t="shared" si="42"/>
        <v>281</v>
      </c>
      <c r="BE40" s="175">
        <v>36</v>
      </c>
      <c r="BF40" s="102">
        <v>118</v>
      </c>
      <c r="BG40" s="100">
        <f t="shared" si="43"/>
        <v>13</v>
      </c>
      <c r="BH40" s="102">
        <v>0</v>
      </c>
      <c r="BI40" s="159">
        <f t="shared" si="44"/>
        <v>154</v>
      </c>
      <c r="BJ40" s="126"/>
      <c r="BK40" s="102"/>
      <c r="BL40" s="100"/>
      <c r="BM40" s="102"/>
      <c r="BN40" s="113"/>
      <c r="BO40" s="175"/>
      <c r="BP40" s="102"/>
      <c r="BQ40" s="102"/>
      <c r="BR40" s="102"/>
      <c r="BS40" s="102"/>
      <c r="BT40" s="165"/>
      <c r="BU40" s="126"/>
      <c r="BV40" s="175"/>
      <c r="BW40" s="175"/>
      <c r="BX40" s="175"/>
      <c r="BY40" s="175"/>
      <c r="BZ40" s="113"/>
      <c r="CA40" s="175"/>
      <c r="CB40" s="175"/>
      <c r="CC40" s="175"/>
      <c r="CD40" s="175"/>
      <c r="CE40" s="175"/>
      <c r="CF40" s="159"/>
      <c r="CG40" s="126"/>
      <c r="CH40" s="175"/>
      <c r="CI40" s="175"/>
      <c r="CJ40" s="175"/>
      <c r="CK40" s="175"/>
      <c r="CL40" s="113"/>
      <c r="CM40" s="175"/>
      <c r="CN40" s="175"/>
      <c r="CO40" s="175"/>
      <c r="CP40" s="175"/>
      <c r="CQ40" s="175"/>
      <c r="CR40" s="159"/>
      <c r="CS40" s="126"/>
      <c r="CT40" s="175"/>
      <c r="CU40" s="175"/>
      <c r="CV40" s="175"/>
      <c r="CW40" s="175"/>
      <c r="CX40" s="113"/>
      <c r="CY40" s="126"/>
      <c r="CZ40" s="175"/>
      <c r="DA40" s="175"/>
      <c r="DB40" s="175"/>
      <c r="DC40" s="175"/>
      <c r="DD40" s="113"/>
      <c r="DE40" s="175"/>
      <c r="DF40" s="175"/>
      <c r="DG40" s="175"/>
      <c r="DH40" s="175"/>
      <c r="DI40" s="175"/>
      <c r="DJ40" s="159"/>
      <c r="DK40" s="126"/>
      <c r="DL40" s="175"/>
      <c r="DM40" s="175"/>
      <c r="DN40" s="175"/>
      <c r="DO40" s="175"/>
      <c r="DP40" s="113"/>
      <c r="DQ40" s="175"/>
      <c r="DR40" s="175"/>
      <c r="DS40" s="175"/>
      <c r="DT40" s="175"/>
      <c r="DU40" s="175"/>
      <c r="DV40" s="159"/>
      <c r="DW40" s="126"/>
      <c r="DX40" s="175"/>
      <c r="DY40" s="175"/>
      <c r="DZ40" s="175"/>
      <c r="EA40" s="175"/>
      <c r="EB40" s="113"/>
      <c r="EC40" s="126"/>
      <c r="ED40" s="175"/>
      <c r="EE40" s="175"/>
      <c r="EF40" s="175"/>
      <c r="EG40" s="175"/>
      <c r="EH40" s="113"/>
      <c r="EI40" s="126"/>
      <c r="EJ40" s="175"/>
      <c r="EK40" s="175"/>
      <c r="EL40" s="175"/>
      <c r="EM40" s="175"/>
      <c r="EN40" s="113"/>
      <c r="EO40" s="126"/>
      <c r="EP40" s="175"/>
      <c r="EQ40" s="175"/>
      <c r="ER40" s="175"/>
      <c r="ES40" s="175"/>
      <c r="ET40" s="113"/>
      <c r="EU40" s="159"/>
      <c r="EV40" s="159"/>
      <c r="EW40" s="159"/>
      <c r="EX40" s="159"/>
      <c r="EY40" s="159"/>
      <c r="EZ40" s="159"/>
      <c r="FA40" s="171">
        <f t="shared" si="13"/>
        <v>558</v>
      </c>
      <c r="FB40" s="100">
        <f t="shared" si="5"/>
        <v>2375</v>
      </c>
      <c r="FC40" s="100"/>
      <c r="FD40" s="100">
        <f t="shared" si="34"/>
        <v>239</v>
      </c>
      <c r="FE40" s="141">
        <f t="shared" si="14"/>
        <v>103</v>
      </c>
      <c r="FF40" s="138">
        <f t="shared" si="45"/>
        <v>2933</v>
      </c>
    </row>
    <row r="41" spans="1:172" ht="12" customHeight="1" x14ac:dyDescent="0.2">
      <c r="A41" s="42" t="s">
        <v>51</v>
      </c>
      <c r="B41" s="48"/>
      <c r="C41" s="5"/>
      <c r="D41" s="4"/>
      <c r="E41" s="7"/>
      <c r="F41" s="44"/>
      <c r="G41" s="9"/>
      <c r="H41" s="7"/>
      <c r="I41" s="6"/>
      <c r="J41" s="7"/>
      <c r="K41" s="53"/>
      <c r="L41" s="188"/>
      <c r="M41" s="7"/>
      <c r="N41" s="6"/>
      <c r="O41" s="7"/>
      <c r="P41" s="187"/>
      <c r="Q41" s="9"/>
      <c r="R41" s="7"/>
      <c r="S41" s="6"/>
      <c r="T41" s="7"/>
      <c r="U41" s="29"/>
      <c r="V41" s="126">
        <v>47</v>
      </c>
      <c r="W41" s="102">
        <v>261</v>
      </c>
      <c r="X41" s="100">
        <f t="shared" ref="X41:X50" si="47">SUM(Z40-W41-Y40)</f>
        <v>40</v>
      </c>
      <c r="Y41" s="102">
        <v>9</v>
      </c>
      <c r="Z41" s="113">
        <f t="shared" si="46"/>
        <v>308</v>
      </c>
      <c r="AA41" s="175">
        <v>41</v>
      </c>
      <c r="AB41" s="102">
        <v>126</v>
      </c>
      <c r="AC41" s="100">
        <f t="shared" ref="AC41:AC48" si="48">SUM(AE40-AB41-AD40)</f>
        <v>18</v>
      </c>
      <c r="AD41" s="102">
        <v>3</v>
      </c>
      <c r="AE41" s="159">
        <f t="shared" si="37"/>
        <v>167</v>
      </c>
      <c r="AF41" s="126">
        <v>89</v>
      </c>
      <c r="AG41" s="102">
        <v>696</v>
      </c>
      <c r="AH41" s="100">
        <f>SUM(AJ40-AG41-AI40)</f>
        <v>27</v>
      </c>
      <c r="AI41" s="102">
        <v>36</v>
      </c>
      <c r="AJ41" s="113">
        <f t="shared" si="38"/>
        <v>785</v>
      </c>
      <c r="AK41" s="175">
        <v>44</v>
      </c>
      <c r="AL41" s="102">
        <v>239</v>
      </c>
      <c r="AM41" s="100">
        <f t="shared" ref="AM41:AM48" si="49">SUM(AO40-AL41-AN40)</f>
        <v>62</v>
      </c>
      <c r="AN41" s="102">
        <v>10</v>
      </c>
      <c r="AO41" s="159">
        <f t="shared" si="39"/>
        <v>283</v>
      </c>
      <c r="AP41" s="126">
        <v>38</v>
      </c>
      <c r="AQ41" s="102">
        <v>347</v>
      </c>
      <c r="AR41" s="100">
        <f>SUM(AT40-AQ41-AS40)</f>
        <v>26</v>
      </c>
      <c r="AS41" s="102">
        <v>29</v>
      </c>
      <c r="AT41" s="113">
        <f t="shared" si="40"/>
        <v>385</v>
      </c>
      <c r="AU41" s="175">
        <v>0</v>
      </c>
      <c r="AV41" s="103">
        <v>529</v>
      </c>
      <c r="AW41" s="100">
        <f>SUM(AY40-AV41-AX40)</f>
        <v>24</v>
      </c>
      <c r="AX41" s="102">
        <v>45</v>
      </c>
      <c r="AY41" s="159">
        <f t="shared" si="36"/>
        <v>529</v>
      </c>
      <c r="AZ41" s="126">
        <v>42</v>
      </c>
      <c r="BA41" s="103">
        <v>258</v>
      </c>
      <c r="BB41" s="100">
        <f>SUM(BD40-BA41-BC40)</f>
        <v>23</v>
      </c>
      <c r="BC41" s="102">
        <v>0</v>
      </c>
      <c r="BD41" s="113">
        <f t="shared" si="42"/>
        <v>300</v>
      </c>
      <c r="BE41" s="175">
        <v>42</v>
      </c>
      <c r="BF41" s="102">
        <v>132</v>
      </c>
      <c r="BG41" s="100">
        <f t="shared" ref="BG41:BG46" si="50">SUM(BI40-BF41-BH40)</f>
        <v>22</v>
      </c>
      <c r="BH41" s="102">
        <v>0</v>
      </c>
      <c r="BI41" s="159">
        <f t="shared" si="44"/>
        <v>174</v>
      </c>
      <c r="BJ41" s="126"/>
      <c r="BK41" s="102"/>
      <c r="BL41" s="100"/>
      <c r="BM41" s="102"/>
      <c r="BN41" s="113"/>
      <c r="BO41" s="175"/>
      <c r="BP41" s="102"/>
      <c r="BQ41" s="102"/>
      <c r="BR41" s="102"/>
      <c r="BS41" s="102"/>
      <c r="BT41" s="165"/>
      <c r="BU41" s="126"/>
      <c r="BV41" s="175"/>
      <c r="BW41" s="175"/>
      <c r="BX41" s="175"/>
      <c r="BY41" s="175"/>
      <c r="BZ41" s="113"/>
      <c r="CA41" s="175"/>
      <c r="CB41" s="175"/>
      <c r="CC41" s="175"/>
      <c r="CD41" s="175"/>
      <c r="CE41" s="175"/>
      <c r="CF41" s="159"/>
      <c r="CG41" s="126"/>
      <c r="CH41" s="175"/>
      <c r="CI41" s="175"/>
      <c r="CJ41" s="175"/>
      <c r="CK41" s="175"/>
      <c r="CL41" s="113"/>
      <c r="CM41" s="175"/>
      <c r="CN41" s="175"/>
      <c r="CO41" s="175"/>
      <c r="CP41" s="175"/>
      <c r="CQ41" s="175"/>
      <c r="CR41" s="159"/>
      <c r="CS41" s="126"/>
      <c r="CT41" s="175"/>
      <c r="CU41" s="175"/>
      <c r="CV41" s="175"/>
      <c r="CW41" s="175"/>
      <c r="CX41" s="113"/>
      <c r="CY41" s="126"/>
      <c r="CZ41" s="175"/>
      <c r="DA41" s="175"/>
      <c r="DB41" s="175"/>
      <c r="DC41" s="175"/>
      <c r="DD41" s="113"/>
      <c r="DE41" s="175"/>
      <c r="DF41" s="175"/>
      <c r="DG41" s="175"/>
      <c r="DH41" s="175"/>
      <c r="DI41" s="175"/>
      <c r="DJ41" s="159"/>
      <c r="DK41" s="126"/>
      <c r="DL41" s="175"/>
      <c r="DM41" s="175"/>
      <c r="DN41" s="175"/>
      <c r="DO41" s="175"/>
      <c r="DP41" s="113"/>
      <c r="DQ41" s="175"/>
      <c r="DR41" s="175"/>
      <c r="DS41" s="175"/>
      <c r="DT41" s="175"/>
      <c r="DU41" s="175"/>
      <c r="DV41" s="159"/>
      <c r="DW41" s="126"/>
      <c r="DX41" s="175"/>
      <c r="DY41" s="175"/>
      <c r="DZ41" s="175"/>
      <c r="EA41" s="175"/>
      <c r="EB41" s="113"/>
      <c r="EC41" s="126"/>
      <c r="ED41" s="175"/>
      <c r="EE41" s="175"/>
      <c r="EF41" s="175"/>
      <c r="EG41" s="175"/>
      <c r="EH41" s="113"/>
      <c r="EI41" s="126"/>
      <c r="EJ41" s="175"/>
      <c r="EK41" s="175"/>
      <c r="EL41" s="175"/>
      <c r="EM41" s="175"/>
      <c r="EN41" s="113"/>
      <c r="EO41" s="126"/>
      <c r="EP41" s="175"/>
      <c r="EQ41" s="175"/>
      <c r="ER41" s="175"/>
      <c r="ES41" s="175"/>
      <c r="ET41" s="113"/>
      <c r="EU41" s="159"/>
      <c r="EV41" s="159"/>
      <c r="EW41" s="159"/>
      <c r="EX41" s="159"/>
      <c r="EY41" s="159"/>
      <c r="EZ41" s="159"/>
      <c r="FA41" s="171">
        <f t="shared" si="13"/>
        <v>343</v>
      </c>
      <c r="FB41" s="100">
        <f t="shared" ref="FB41:FB64" si="51">SUM(C41+H41+M41+R41+W41+AB41+AG41+AL41+AQ41+AV41+BA41+BF41+BK41)</f>
        <v>2588</v>
      </c>
      <c r="FC41" s="100"/>
      <c r="FD41" s="100">
        <f t="shared" ref="FD41:FD46" si="52">SUM(FF40-FB41-FE40)</f>
        <v>242</v>
      </c>
      <c r="FE41" s="141">
        <f t="shared" si="14"/>
        <v>132</v>
      </c>
      <c r="FF41" s="138">
        <f t="shared" si="45"/>
        <v>2931</v>
      </c>
    </row>
    <row r="42" spans="1:172" ht="12" customHeight="1" x14ac:dyDescent="0.2">
      <c r="A42" s="43" t="s">
        <v>52</v>
      </c>
      <c r="B42" s="49"/>
      <c r="C42" s="35"/>
      <c r="D42" s="36"/>
      <c r="E42" s="34"/>
      <c r="F42" s="50"/>
      <c r="G42" s="37"/>
      <c r="H42" s="34"/>
      <c r="I42" s="33"/>
      <c r="J42" s="34"/>
      <c r="K42" s="54"/>
      <c r="L42" s="189"/>
      <c r="M42" s="34"/>
      <c r="N42" s="33"/>
      <c r="O42" s="34"/>
      <c r="P42" s="197"/>
      <c r="Q42" s="37"/>
      <c r="R42" s="34"/>
      <c r="S42" s="33"/>
      <c r="T42" s="34"/>
      <c r="U42" s="52"/>
      <c r="V42" s="127">
        <v>79</v>
      </c>
      <c r="W42" s="103">
        <v>245</v>
      </c>
      <c r="X42" s="101">
        <f t="shared" si="47"/>
        <v>54</v>
      </c>
      <c r="Y42" s="103">
        <v>11</v>
      </c>
      <c r="Z42" s="112">
        <f t="shared" si="46"/>
        <v>324</v>
      </c>
      <c r="AA42" s="176">
        <v>42</v>
      </c>
      <c r="AB42" s="103">
        <v>115</v>
      </c>
      <c r="AC42" s="101">
        <f t="shared" si="48"/>
        <v>49</v>
      </c>
      <c r="AD42" s="103">
        <v>7</v>
      </c>
      <c r="AE42" s="160">
        <f t="shared" si="37"/>
        <v>157</v>
      </c>
      <c r="AF42" s="127">
        <v>126</v>
      </c>
      <c r="AG42" s="103">
        <v>689</v>
      </c>
      <c r="AH42" s="101">
        <f>SUM(AJ41-AG42-AI41)</f>
        <v>60</v>
      </c>
      <c r="AI42" s="103">
        <v>47</v>
      </c>
      <c r="AJ42" s="112">
        <f t="shared" si="38"/>
        <v>815</v>
      </c>
      <c r="AK42" s="176">
        <v>77</v>
      </c>
      <c r="AL42" s="103">
        <v>245</v>
      </c>
      <c r="AM42" s="101">
        <f t="shared" si="49"/>
        <v>28</v>
      </c>
      <c r="AN42" s="103">
        <v>14</v>
      </c>
      <c r="AO42" s="160">
        <f t="shared" si="39"/>
        <v>322</v>
      </c>
      <c r="AP42" s="127">
        <v>42</v>
      </c>
      <c r="AQ42" s="103">
        <v>299</v>
      </c>
      <c r="AR42" s="101">
        <f>SUM(AT41-AQ42-AS41)</f>
        <v>57</v>
      </c>
      <c r="AS42" s="103">
        <v>26</v>
      </c>
      <c r="AT42" s="112">
        <f t="shared" si="40"/>
        <v>341</v>
      </c>
      <c r="AU42" s="176">
        <v>78</v>
      </c>
      <c r="AV42" s="103">
        <v>472</v>
      </c>
      <c r="AW42" s="101">
        <f>SUM(AY41-AV42-AX41)</f>
        <v>12</v>
      </c>
      <c r="AX42" s="103">
        <v>68</v>
      </c>
      <c r="AY42" s="160">
        <f t="shared" si="36"/>
        <v>550</v>
      </c>
      <c r="AZ42" s="127">
        <v>83</v>
      </c>
      <c r="BA42" s="103">
        <v>235</v>
      </c>
      <c r="BB42" s="101">
        <f>SUM(BD41-BA42-BC41)</f>
        <v>65</v>
      </c>
      <c r="BC42" s="103">
        <v>0</v>
      </c>
      <c r="BD42" s="112">
        <f t="shared" si="42"/>
        <v>318</v>
      </c>
      <c r="BE42" s="176">
        <v>40</v>
      </c>
      <c r="BF42" s="103">
        <v>140</v>
      </c>
      <c r="BG42" s="101">
        <f t="shared" si="50"/>
        <v>34</v>
      </c>
      <c r="BH42" s="103">
        <v>7</v>
      </c>
      <c r="BI42" s="160">
        <f t="shared" si="44"/>
        <v>180</v>
      </c>
      <c r="BJ42" s="127"/>
      <c r="BK42" s="103"/>
      <c r="BL42" s="101"/>
      <c r="BM42" s="103"/>
      <c r="BN42" s="112"/>
      <c r="BO42" s="176"/>
      <c r="BP42" s="103"/>
      <c r="BQ42" s="103"/>
      <c r="BR42" s="103"/>
      <c r="BS42" s="103"/>
      <c r="BT42" s="166"/>
      <c r="BU42" s="127"/>
      <c r="BV42" s="176"/>
      <c r="BW42" s="176"/>
      <c r="BX42" s="176"/>
      <c r="BY42" s="176"/>
      <c r="BZ42" s="112"/>
      <c r="CA42" s="176"/>
      <c r="CB42" s="176"/>
      <c r="CC42" s="176"/>
      <c r="CD42" s="176"/>
      <c r="CE42" s="176"/>
      <c r="CF42" s="160"/>
      <c r="CG42" s="127"/>
      <c r="CH42" s="176"/>
      <c r="CI42" s="176"/>
      <c r="CJ42" s="176"/>
      <c r="CK42" s="176"/>
      <c r="CL42" s="112"/>
      <c r="CM42" s="176"/>
      <c r="CN42" s="176"/>
      <c r="CO42" s="176"/>
      <c r="CP42" s="176"/>
      <c r="CQ42" s="176"/>
      <c r="CR42" s="160"/>
      <c r="CS42" s="127"/>
      <c r="CT42" s="176"/>
      <c r="CU42" s="176"/>
      <c r="CV42" s="176"/>
      <c r="CW42" s="176"/>
      <c r="CX42" s="112"/>
      <c r="CY42" s="127"/>
      <c r="CZ42" s="176"/>
      <c r="DA42" s="176"/>
      <c r="DB42" s="176"/>
      <c r="DC42" s="176"/>
      <c r="DD42" s="112"/>
      <c r="DE42" s="176"/>
      <c r="DF42" s="176"/>
      <c r="DG42" s="176"/>
      <c r="DH42" s="176"/>
      <c r="DI42" s="176"/>
      <c r="DJ42" s="160"/>
      <c r="DK42" s="127"/>
      <c r="DL42" s="176"/>
      <c r="DM42" s="176"/>
      <c r="DN42" s="176"/>
      <c r="DO42" s="176"/>
      <c r="DP42" s="112"/>
      <c r="DQ42" s="176"/>
      <c r="DR42" s="176"/>
      <c r="DS42" s="176"/>
      <c r="DT42" s="176"/>
      <c r="DU42" s="176"/>
      <c r="DV42" s="160"/>
      <c r="DW42" s="127"/>
      <c r="DX42" s="176"/>
      <c r="DY42" s="176"/>
      <c r="DZ42" s="176"/>
      <c r="EA42" s="176"/>
      <c r="EB42" s="112"/>
      <c r="EC42" s="127"/>
      <c r="ED42" s="176"/>
      <c r="EE42" s="176"/>
      <c r="EF42" s="176"/>
      <c r="EG42" s="176"/>
      <c r="EH42" s="112"/>
      <c r="EI42" s="127"/>
      <c r="EJ42" s="176"/>
      <c r="EK42" s="176"/>
      <c r="EL42" s="176"/>
      <c r="EM42" s="176"/>
      <c r="EN42" s="112"/>
      <c r="EO42" s="127"/>
      <c r="EP42" s="176"/>
      <c r="EQ42" s="176"/>
      <c r="ER42" s="176"/>
      <c r="ES42" s="176"/>
      <c r="ET42" s="112"/>
      <c r="EU42" s="160"/>
      <c r="EV42" s="160"/>
      <c r="EW42" s="160"/>
      <c r="EX42" s="160"/>
      <c r="EY42" s="160"/>
      <c r="EZ42" s="160"/>
      <c r="FA42" s="171">
        <f t="shared" ref="FA42:FA64" si="53">SUM(B42+G42+L42+Q42+V42+AA42+AF42+AK42+AP42+AU42+AZ42+BE42+BJ42)</f>
        <v>567</v>
      </c>
      <c r="FB42" s="100">
        <f t="shared" si="51"/>
        <v>2440</v>
      </c>
      <c r="FC42" s="100"/>
      <c r="FD42" s="101">
        <f t="shared" si="52"/>
        <v>359</v>
      </c>
      <c r="FE42" s="141">
        <f t="shared" si="14"/>
        <v>180</v>
      </c>
      <c r="FF42" s="140">
        <f t="shared" si="45"/>
        <v>3007</v>
      </c>
    </row>
    <row r="43" spans="1:172" ht="12" customHeight="1" x14ac:dyDescent="0.2">
      <c r="A43" s="43" t="s">
        <v>53</v>
      </c>
      <c r="B43" s="49"/>
      <c r="C43" s="35"/>
      <c r="D43" s="36"/>
      <c r="E43" s="34"/>
      <c r="F43" s="50"/>
      <c r="G43" s="37"/>
      <c r="H43" s="34"/>
      <c r="I43" s="33"/>
      <c r="J43" s="34"/>
      <c r="K43" s="54"/>
      <c r="L43" s="189"/>
      <c r="M43" s="34"/>
      <c r="N43" s="33"/>
      <c r="O43" s="34"/>
      <c r="P43" s="197"/>
      <c r="Q43" s="37"/>
      <c r="R43" s="34"/>
      <c r="S43" s="33"/>
      <c r="T43" s="34"/>
      <c r="U43" s="52"/>
      <c r="V43" s="127">
        <v>42</v>
      </c>
      <c r="W43" s="103">
        <v>284</v>
      </c>
      <c r="X43" s="101">
        <f t="shared" si="47"/>
        <v>29</v>
      </c>
      <c r="Y43" s="103">
        <v>8</v>
      </c>
      <c r="Z43" s="112">
        <f t="shared" si="46"/>
        <v>326</v>
      </c>
      <c r="AA43" s="176">
        <v>45</v>
      </c>
      <c r="AB43" s="103">
        <v>123</v>
      </c>
      <c r="AC43" s="101">
        <f t="shared" si="48"/>
        <v>27</v>
      </c>
      <c r="AD43" s="103">
        <v>10</v>
      </c>
      <c r="AE43" s="160">
        <f t="shared" si="37"/>
        <v>168</v>
      </c>
      <c r="AF43" s="127">
        <v>79</v>
      </c>
      <c r="AG43" s="103">
        <v>729</v>
      </c>
      <c r="AH43" s="101">
        <f>SUM(AJ42-AG43-AI42)</f>
        <v>39</v>
      </c>
      <c r="AI43" s="103">
        <v>49</v>
      </c>
      <c r="AJ43" s="112">
        <f t="shared" si="38"/>
        <v>808</v>
      </c>
      <c r="AK43" s="176">
        <v>41</v>
      </c>
      <c r="AL43" s="103">
        <v>257</v>
      </c>
      <c r="AM43" s="101">
        <f t="shared" si="49"/>
        <v>51</v>
      </c>
      <c r="AN43" s="103">
        <v>6</v>
      </c>
      <c r="AO43" s="160">
        <f t="shared" si="39"/>
        <v>298</v>
      </c>
      <c r="AP43" s="127">
        <v>44</v>
      </c>
      <c r="AQ43" s="103">
        <v>269</v>
      </c>
      <c r="AR43" s="101">
        <f>SUM(AT42-AQ43-AS42)</f>
        <v>46</v>
      </c>
      <c r="AS43" s="103">
        <v>15</v>
      </c>
      <c r="AT43" s="112">
        <f t="shared" si="40"/>
        <v>313</v>
      </c>
      <c r="AU43" s="176">
        <v>0</v>
      </c>
      <c r="AV43" s="103">
        <v>430</v>
      </c>
      <c r="AW43" s="101">
        <f>SUM(AY42-AV43-AX42)</f>
        <v>52</v>
      </c>
      <c r="AX43" s="103">
        <v>74</v>
      </c>
      <c r="AY43" s="160">
        <f t="shared" si="36"/>
        <v>430</v>
      </c>
      <c r="AZ43" s="127">
        <v>43</v>
      </c>
      <c r="BA43" s="103">
        <v>268</v>
      </c>
      <c r="BB43" s="101">
        <f>SUM(BD42-BA43-BC42)</f>
        <v>50</v>
      </c>
      <c r="BC43" s="103">
        <v>4</v>
      </c>
      <c r="BD43" s="112">
        <f t="shared" si="42"/>
        <v>311</v>
      </c>
      <c r="BE43" s="176">
        <v>40</v>
      </c>
      <c r="BF43" s="103">
        <v>155</v>
      </c>
      <c r="BG43" s="101">
        <f t="shared" si="50"/>
        <v>18</v>
      </c>
      <c r="BH43" s="103">
        <v>15</v>
      </c>
      <c r="BI43" s="160">
        <f t="shared" si="44"/>
        <v>195</v>
      </c>
      <c r="BJ43" s="127"/>
      <c r="BK43" s="103"/>
      <c r="BL43" s="101"/>
      <c r="BM43" s="103"/>
      <c r="BN43" s="112"/>
      <c r="BO43" s="176"/>
      <c r="BP43" s="103"/>
      <c r="BQ43" s="103"/>
      <c r="BR43" s="103"/>
      <c r="BS43" s="103"/>
      <c r="BT43" s="166"/>
      <c r="BU43" s="127"/>
      <c r="BV43" s="176"/>
      <c r="BW43" s="176"/>
      <c r="BX43" s="176"/>
      <c r="BY43" s="176"/>
      <c r="BZ43" s="112"/>
      <c r="CA43" s="176"/>
      <c r="CB43" s="176"/>
      <c r="CC43" s="176"/>
      <c r="CD43" s="176"/>
      <c r="CE43" s="176"/>
      <c r="CF43" s="160"/>
      <c r="CG43" s="127"/>
      <c r="CH43" s="176"/>
      <c r="CI43" s="176"/>
      <c r="CJ43" s="176"/>
      <c r="CK43" s="176"/>
      <c r="CL43" s="112"/>
      <c r="CM43" s="176"/>
      <c r="CN43" s="176"/>
      <c r="CO43" s="176"/>
      <c r="CP43" s="176"/>
      <c r="CQ43" s="176"/>
      <c r="CR43" s="160"/>
      <c r="CS43" s="127"/>
      <c r="CT43" s="176"/>
      <c r="CU43" s="176"/>
      <c r="CV43" s="176"/>
      <c r="CW43" s="176"/>
      <c r="CX43" s="112"/>
      <c r="CY43" s="127"/>
      <c r="CZ43" s="176"/>
      <c r="DA43" s="176"/>
      <c r="DB43" s="176"/>
      <c r="DC43" s="176"/>
      <c r="DD43" s="112"/>
      <c r="DE43" s="176"/>
      <c r="DF43" s="176"/>
      <c r="DG43" s="176"/>
      <c r="DH43" s="176"/>
      <c r="DI43" s="176"/>
      <c r="DJ43" s="160"/>
      <c r="DK43" s="127"/>
      <c r="DL43" s="176"/>
      <c r="DM43" s="176"/>
      <c r="DN43" s="176"/>
      <c r="DO43" s="176"/>
      <c r="DP43" s="112"/>
      <c r="DQ43" s="176"/>
      <c r="DR43" s="176"/>
      <c r="DS43" s="176"/>
      <c r="DT43" s="176"/>
      <c r="DU43" s="176"/>
      <c r="DV43" s="160"/>
      <c r="DW43" s="127"/>
      <c r="DX43" s="176"/>
      <c r="DY43" s="176"/>
      <c r="DZ43" s="176"/>
      <c r="EA43" s="176"/>
      <c r="EB43" s="112"/>
      <c r="EC43" s="127"/>
      <c r="ED43" s="176"/>
      <c r="EE43" s="176"/>
      <c r="EF43" s="176"/>
      <c r="EG43" s="176"/>
      <c r="EH43" s="112"/>
      <c r="EI43" s="127"/>
      <c r="EJ43" s="176"/>
      <c r="EK43" s="176"/>
      <c r="EL43" s="176"/>
      <c r="EM43" s="176"/>
      <c r="EN43" s="112"/>
      <c r="EO43" s="127"/>
      <c r="EP43" s="176"/>
      <c r="EQ43" s="176"/>
      <c r="ER43" s="176"/>
      <c r="ES43" s="176"/>
      <c r="ET43" s="112"/>
      <c r="EU43" s="160"/>
      <c r="EV43" s="160"/>
      <c r="EW43" s="160"/>
      <c r="EX43" s="160"/>
      <c r="EY43" s="160"/>
      <c r="EZ43" s="160"/>
      <c r="FA43" s="171">
        <f t="shared" si="53"/>
        <v>334</v>
      </c>
      <c r="FB43" s="100">
        <f t="shared" si="51"/>
        <v>2515</v>
      </c>
      <c r="FC43" s="100"/>
      <c r="FD43" s="101">
        <f t="shared" si="52"/>
        <v>312</v>
      </c>
      <c r="FE43" s="141">
        <f t="shared" si="14"/>
        <v>181</v>
      </c>
      <c r="FF43" s="140">
        <f t="shared" si="45"/>
        <v>2849</v>
      </c>
    </row>
    <row r="44" spans="1:172" ht="12" customHeight="1" x14ac:dyDescent="0.2">
      <c r="A44" s="43" t="s">
        <v>54</v>
      </c>
      <c r="B44" s="49"/>
      <c r="C44" s="35"/>
      <c r="D44" s="36"/>
      <c r="E44" s="34"/>
      <c r="F44" s="50"/>
      <c r="G44" s="37"/>
      <c r="H44" s="34"/>
      <c r="I44" s="33"/>
      <c r="J44" s="34"/>
      <c r="K44" s="54"/>
      <c r="L44" s="189"/>
      <c r="M44" s="34"/>
      <c r="N44" s="33"/>
      <c r="O44" s="34"/>
      <c r="P44" s="197"/>
      <c r="Q44" s="37"/>
      <c r="R44" s="34"/>
      <c r="S44" s="33"/>
      <c r="T44" s="34"/>
      <c r="U44" s="52"/>
      <c r="V44" s="127">
        <v>83</v>
      </c>
      <c r="W44" s="103">
        <v>271</v>
      </c>
      <c r="X44" s="101">
        <f t="shared" si="47"/>
        <v>47</v>
      </c>
      <c r="Y44" s="103">
        <v>10</v>
      </c>
      <c r="Z44" s="112">
        <f t="shared" si="46"/>
        <v>354</v>
      </c>
      <c r="AA44" s="176">
        <v>41</v>
      </c>
      <c r="AB44" s="103">
        <v>134</v>
      </c>
      <c r="AC44" s="101">
        <f t="shared" si="48"/>
        <v>24</v>
      </c>
      <c r="AD44" s="103">
        <v>5</v>
      </c>
      <c r="AE44" s="160">
        <f t="shared" si="37"/>
        <v>175</v>
      </c>
      <c r="AF44" s="127">
        <v>130</v>
      </c>
      <c r="AG44" s="103">
        <v>703</v>
      </c>
      <c r="AH44" s="101">
        <f>SUM(AJ43-AG44-AI43)</f>
        <v>56</v>
      </c>
      <c r="AI44" s="103">
        <v>30</v>
      </c>
      <c r="AJ44" s="112">
        <f t="shared" si="38"/>
        <v>833</v>
      </c>
      <c r="AK44" s="176">
        <v>81</v>
      </c>
      <c r="AL44" s="103">
        <v>247</v>
      </c>
      <c r="AM44" s="101">
        <f t="shared" si="49"/>
        <v>45</v>
      </c>
      <c r="AN44" s="103">
        <v>10</v>
      </c>
      <c r="AO44" s="160">
        <f t="shared" si="39"/>
        <v>328</v>
      </c>
      <c r="AP44" s="127">
        <v>73</v>
      </c>
      <c r="AQ44" s="103">
        <v>256</v>
      </c>
      <c r="AR44" s="101">
        <f>SUM(AT43-AQ44-AS43)</f>
        <v>42</v>
      </c>
      <c r="AS44" s="103">
        <v>15</v>
      </c>
      <c r="AT44" s="112">
        <f t="shared" si="40"/>
        <v>329</v>
      </c>
      <c r="AU44" s="176">
        <v>87</v>
      </c>
      <c r="AV44" s="103">
        <v>351</v>
      </c>
      <c r="AW44" s="101">
        <f>SUM(AY43-AV44-AX43)</f>
        <v>5</v>
      </c>
      <c r="AX44" s="103">
        <v>30</v>
      </c>
      <c r="AY44" s="160">
        <f t="shared" si="36"/>
        <v>438</v>
      </c>
      <c r="AZ44" s="127">
        <v>85</v>
      </c>
      <c r="BA44" s="103">
        <v>272</v>
      </c>
      <c r="BB44" s="101">
        <f>SUM(BD43-BA44-BC43)</f>
        <v>35</v>
      </c>
      <c r="BC44" s="103">
        <v>10</v>
      </c>
      <c r="BD44" s="112">
        <f t="shared" si="42"/>
        <v>357</v>
      </c>
      <c r="BE44" s="176">
        <v>82</v>
      </c>
      <c r="BF44" s="103">
        <v>160</v>
      </c>
      <c r="BG44" s="101">
        <f t="shared" si="50"/>
        <v>20</v>
      </c>
      <c r="BH44" s="103">
        <v>10</v>
      </c>
      <c r="BI44" s="160">
        <f t="shared" si="44"/>
        <v>242</v>
      </c>
      <c r="BJ44" s="127"/>
      <c r="BK44" s="103"/>
      <c r="BL44" s="101"/>
      <c r="BM44" s="103"/>
      <c r="BN44" s="112"/>
      <c r="BO44" s="176"/>
      <c r="BP44" s="103"/>
      <c r="BQ44" s="103"/>
      <c r="BR44" s="103"/>
      <c r="BS44" s="103"/>
      <c r="BT44" s="166"/>
      <c r="BU44" s="127"/>
      <c r="BV44" s="176"/>
      <c r="BW44" s="176"/>
      <c r="BX44" s="176"/>
      <c r="BY44" s="176"/>
      <c r="BZ44" s="112"/>
      <c r="CA44" s="176"/>
      <c r="CB44" s="176"/>
      <c r="CC44" s="176"/>
      <c r="CD44" s="176"/>
      <c r="CE44" s="176"/>
      <c r="CF44" s="160"/>
      <c r="CG44" s="127"/>
      <c r="CH44" s="176"/>
      <c r="CI44" s="176"/>
      <c r="CJ44" s="176"/>
      <c r="CK44" s="176"/>
      <c r="CL44" s="112"/>
      <c r="CM44" s="176"/>
      <c r="CN44" s="176"/>
      <c r="CO44" s="176"/>
      <c r="CP44" s="176"/>
      <c r="CQ44" s="176"/>
      <c r="CR44" s="160"/>
      <c r="CS44" s="127"/>
      <c r="CT44" s="176"/>
      <c r="CU44" s="176"/>
      <c r="CV44" s="176"/>
      <c r="CW44" s="176"/>
      <c r="CX44" s="112"/>
      <c r="CY44" s="127"/>
      <c r="CZ44" s="176"/>
      <c r="DA44" s="176"/>
      <c r="DB44" s="176"/>
      <c r="DC44" s="176"/>
      <c r="DD44" s="112"/>
      <c r="DE44" s="176"/>
      <c r="DF44" s="176"/>
      <c r="DG44" s="176"/>
      <c r="DH44" s="176"/>
      <c r="DI44" s="176"/>
      <c r="DJ44" s="160"/>
      <c r="DK44" s="127"/>
      <c r="DL44" s="176"/>
      <c r="DM44" s="176"/>
      <c r="DN44" s="176"/>
      <c r="DO44" s="176"/>
      <c r="DP44" s="112"/>
      <c r="DQ44" s="176"/>
      <c r="DR44" s="176"/>
      <c r="DS44" s="176"/>
      <c r="DT44" s="176"/>
      <c r="DU44" s="176"/>
      <c r="DV44" s="160"/>
      <c r="DW44" s="127"/>
      <c r="DX44" s="176"/>
      <c r="DY44" s="176"/>
      <c r="DZ44" s="176"/>
      <c r="EA44" s="176"/>
      <c r="EB44" s="112"/>
      <c r="EC44" s="127"/>
      <c r="ED44" s="176"/>
      <c r="EE44" s="176"/>
      <c r="EF44" s="176"/>
      <c r="EG44" s="176"/>
      <c r="EH44" s="112"/>
      <c r="EI44" s="127"/>
      <c r="EJ44" s="176"/>
      <c r="EK44" s="176"/>
      <c r="EL44" s="176"/>
      <c r="EM44" s="176"/>
      <c r="EN44" s="112"/>
      <c r="EO44" s="127"/>
      <c r="EP44" s="176"/>
      <c r="EQ44" s="176"/>
      <c r="ER44" s="176"/>
      <c r="ES44" s="176"/>
      <c r="ET44" s="112"/>
      <c r="EU44" s="160"/>
      <c r="EV44" s="160"/>
      <c r="EW44" s="160"/>
      <c r="EX44" s="160"/>
      <c r="EY44" s="160"/>
      <c r="EZ44" s="160"/>
      <c r="FA44" s="171">
        <f t="shared" si="53"/>
        <v>662</v>
      </c>
      <c r="FB44" s="100">
        <f t="shared" si="51"/>
        <v>2394</v>
      </c>
      <c r="FC44" s="100"/>
      <c r="FD44" s="101">
        <f t="shared" si="52"/>
        <v>274</v>
      </c>
      <c r="FE44" s="141">
        <f t="shared" si="14"/>
        <v>120</v>
      </c>
      <c r="FF44" s="140">
        <f t="shared" si="45"/>
        <v>3056</v>
      </c>
    </row>
    <row r="45" spans="1:172" s="358" customFormat="1" ht="12" customHeight="1" x14ac:dyDescent="0.2">
      <c r="A45" s="364" t="s">
        <v>55</v>
      </c>
      <c r="B45" s="365"/>
      <c r="C45" s="366"/>
      <c r="D45" s="366"/>
      <c r="E45" s="382"/>
      <c r="F45" s="383"/>
      <c r="G45" s="384"/>
      <c r="H45" s="382"/>
      <c r="I45" s="382"/>
      <c r="J45" s="382"/>
      <c r="K45" s="385"/>
      <c r="L45" s="386"/>
      <c r="M45" s="382"/>
      <c r="N45" s="382"/>
      <c r="O45" s="382"/>
      <c r="P45" s="387"/>
      <c r="Q45" s="384"/>
      <c r="R45" s="382"/>
      <c r="S45" s="382"/>
      <c r="T45" s="382"/>
      <c r="U45" s="385"/>
      <c r="V45" s="370">
        <v>49</v>
      </c>
      <c r="W45" s="388">
        <v>322</v>
      </c>
      <c r="X45" s="371">
        <f t="shared" si="47"/>
        <v>22</v>
      </c>
      <c r="Y45" s="371">
        <v>23</v>
      </c>
      <c r="Z45" s="389">
        <f t="shared" si="46"/>
        <v>371</v>
      </c>
      <c r="AA45" s="390">
        <v>44</v>
      </c>
      <c r="AB45" s="371">
        <v>138</v>
      </c>
      <c r="AC45" s="371">
        <f t="shared" si="48"/>
        <v>32</v>
      </c>
      <c r="AD45" s="388">
        <v>2</v>
      </c>
      <c r="AE45" s="391">
        <f t="shared" si="37"/>
        <v>182</v>
      </c>
      <c r="AF45" s="370">
        <v>92</v>
      </c>
      <c r="AG45" s="388">
        <v>738</v>
      </c>
      <c r="AH45" s="371">
        <f>SUM(AJ44-AG45-AI44)</f>
        <v>65</v>
      </c>
      <c r="AI45" s="371">
        <v>37</v>
      </c>
      <c r="AJ45" s="389">
        <f t="shared" si="38"/>
        <v>830</v>
      </c>
      <c r="AK45" s="373">
        <v>48</v>
      </c>
      <c r="AL45" s="388">
        <v>293</v>
      </c>
      <c r="AM45" s="371">
        <f t="shared" si="49"/>
        <v>25</v>
      </c>
      <c r="AN45" s="371">
        <v>27</v>
      </c>
      <c r="AO45" s="391">
        <f t="shared" si="39"/>
        <v>341</v>
      </c>
      <c r="AP45" s="370">
        <v>42</v>
      </c>
      <c r="AQ45" s="388">
        <v>283</v>
      </c>
      <c r="AR45" s="371">
        <f>SUM(AT44-AQ45-AS44)</f>
        <v>31</v>
      </c>
      <c r="AS45" s="388">
        <v>25</v>
      </c>
      <c r="AT45" s="389">
        <f t="shared" si="40"/>
        <v>325</v>
      </c>
      <c r="AU45" s="373">
        <v>43</v>
      </c>
      <c r="AV45" s="388">
        <v>356</v>
      </c>
      <c r="AW45" s="371">
        <f>SUM(AY44-AV45-AX44)</f>
        <v>52</v>
      </c>
      <c r="AX45" s="371">
        <v>36</v>
      </c>
      <c r="AY45" s="391">
        <f t="shared" si="36"/>
        <v>399</v>
      </c>
      <c r="AZ45" s="370">
        <v>47</v>
      </c>
      <c r="BA45" s="388">
        <v>308</v>
      </c>
      <c r="BB45" s="371">
        <f>SUM(BD44-BA45-BC44)</f>
        <v>39</v>
      </c>
      <c r="BC45" s="371">
        <v>26</v>
      </c>
      <c r="BD45" s="389">
        <f t="shared" si="42"/>
        <v>355</v>
      </c>
      <c r="BE45" s="373">
        <v>0</v>
      </c>
      <c r="BF45" s="371">
        <v>203</v>
      </c>
      <c r="BG45" s="371">
        <f t="shared" si="50"/>
        <v>29</v>
      </c>
      <c r="BH45" s="371">
        <v>15</v>
      </c>
      <c r="BI45" s="391">
        <f t="shared" si="44"/>
        <v>203</v>
      </c>
      <c r="BJ45" s="370"/>
      <c r="BK45" s="371"/>
      <c r="BL45" s="371"/>
      <c r="BM45" s="371"/>
      <c r="BN45" s="389"/>
      <c r="BO45" s="390"/>
      <c r="BP45" s="388"/>
      <c r="BQ45" s="388"/>
      <c r="BR45" s="388"/>
      <c r="BS45" s="388"/>
      <c r="BT45" s="391"/>
      <c r="BU45" s="392"/>
      <c r="BV45" s="390"/>
      <c r="BW45" s="390"/>
      <c r="BX45" s="390"/>
      <c r="BY45" s="390"/>
      <c r="BZ45" s="393"/>
      <c r="CA45" s="390"/>
      <c r="CB45" s="390"/>
      <c r="CC45" s="390"/>
      <c r="CD45" s="390"/>
      <c r="CE45" s="390"/>
      <c r="CF45" s="394"/>
      <c r="CG45" s="392"/>
      <c r="CH45" s="390"/>
      <c r="CI45" s="390"/>
      <c r="CJ45" s="390"/>
      <c r="CK45" s="390"/>
      <c r="CL45" s="393"/>
      <c r="CM45" s="390"/>
      <c r="CN45" s="390"/>
      <c r="CO45" s="390"/>
      <c r="CP45" s="390"/>
      <c r="CQ45" s="390"/>
      <c r="CR45" s="394"/>
      <c r="CS45" s="392"/>
      <c r="CT45" s="390"/>
      <c r="CU45" s="390"/>
      <c r="CV45" s="390"/>
      <c r="CW45" s="390"/>
      <c r="CX45" s="393"/>
      <c r="CY45" s="392"/>
      <c r="CZ45" s="390"/>
      <c r="DA45" s="390"/>
      <c r="DB45" s="390"/>
      <c r="DC45" s="390"/>
      <c r="DD45" s="393"/>
      <c r="DE45" s="390"/>
      <c r="DF45" s="390"/>
      <c r="DG45" s="390"/>
      <c r="DH45" s="390"/>
      <c r="DI45" s="390"/>
      <c r="DJ45" s="394"/>
      <c r="DK45" s="392"/>
      <c r="DL45" s="390"/>
      <c r="DM45" s="390"/>
      <c r="DN45" s="390"/>
      <c r="DO45" s="390"/>
      <c r="DP45" s="393"/>
      <c r="DQ45" s="390"/>
      <c r="DR45" s="390"/>
      <c r="DS45" s="390"/>
      <c r="DT45" s="390"/>
      <c r="DU45" s="390"/>
      <c r="DV45" s="394"/>
      <c r="DW45" s="392"/>
      <c r="DX45" s="390"/>
      <c r="DY45" s="390"/>
      <c r="DZ45" s="390"/>
      <c r="EA45" s="390"/>
      <c r="EB45" s="393"/>
      <c r="EC45" s="392"/>
      <c r="ED45" s="390"/>
      <c r="EE45" s="390"/>
      <c r="EF45" s="390"/>
      <c r="EG45" s="390"/>
      <c r="EH45" s="393"/>
      <c r="EI45" s="392"/>
      <c r="EJ45" s="390"/>
      <c r="EK45" s="390"/>
      <c r="EL45" s="390"/>
      <c r="EM45" s="390"/>
      <c r="EN45" s="393"/>
      <c r="EO45" s="392"/>
      <c r="EP45" s="390"/>
      <c r="EQ45" s="390"/>
      <c r="ER45" s="390"/>
      <c r="ES45" s="390"/>
      <c r="ET45" s="393"/>
      <c r="EU45" s="394"/>
      <c r="EV45" s="394"/>
      <c r="EW45" s="394"/>
      <c r="EX45" s="394"/>
      <c r="EY45" s="394"/>
      <c r="EZ45" s="394"/>
      <c r="FA45" s="373">
        <f t="shared" si="53"/>
        <v>365</v>
      </c>
      <c r="FB45" s="371">
        <f t="shared" si="51"/>
        <v>2641</v>
      </c>
      <c r="FC45" s="371"/>
      <c r="FD45" s="371">
        <f t="shared" si="52"/>
        <v>295</v>
      </c>
      <c r="FE45" s="395">
        <f t="shared" si="14"/>
        <v>191</v>
      </c>
      <c r="FF45" s="389">
        <f t="shared" si="45"/>
        <v>3006</v>
      </c>
      <c r="FG45" s="396"/>
      <c r="FH45" s="397"/>
      <c r="FI45" s="321"/>
      <c r="FJ45" s="321"/>
      <c r="FK45" s="321"/>
      <c r="FL45" s="321"/>
      <c r="FM45" s="321"/>
      <c r="FN45" s="321"/>
      <c r="FO45" s="321"/>
      <c r="FP45" s="321"/>
    </row>
    <row r="46" spans="1:172" ht="12" customHeight="1" x14ac:dyDescent="0.2">
      <c r="A46" s="43" t="s">
        <v>56</v>
      </c>
      <c r="B46" s="70"/>
      <c r="C46" s="35"/>
      <c r="D46" s="36"/>
      <c r="E46" s="35"/>
      <c r="F46" s="52"/>
      <c r="G46" s="37"/>
      <c r="H46" s="34"/>
      <c r="I46" s="33"/>
      <c r="J46" s="34"/>
      <c r="K46" s="56"/>
      <c r="L46" s="189"/>
      <c r="M46" s="34"/>
      <c r="N46" s="33"/>
      <c r="O46" s="34"/>
      <c r="P46" s="198"/>
      <c r="Q46" s="37"/>
      <c r="R46" s="34"/>
      <c r="S46" s="33"/>
      <c r="T46" s="34"/>
      <c r="U46" s="52"/>
      <c r="V46" s="127">
        <v>83</v>
      </c>
      <c r="W46" s="103">
        <v>297</v>
      </c>
      <c r="X46" s="101">
        <f t="shared" si="47"/>
        <v>51</v>
      </c>
      <c r="Y46" s="103">
        <v>14</v>
      </c>
      <c r="Z46" s="111">
        <f t="shared" si="46"/>
        <v>380</v>
      </c>
      <c r="AA46" s="176">
        <v>42</v>
      </c>
      <c r="AB46" s="103">
        <f>178-42</f>
        <v>136</v>
      </c>
      <c r="AC46" s="101">
        <f t="shared" si="48"/>
        <v>44</v>
      </c>
      <c r="AD46" s="103">
        <v>5</v>
      </c>
      <c r="AE46" s="166">
        <f t="shared" si="37"/>
        <v>178</v>
      </c>
      <c r="AF46" s="127">
        <v>135</v>
      </c>
      <c r="AG46" s="103">
        <f>883-135</f>
        <v>748</v>
      </c>
      <c r="AH46" s="101">
        <f>AJ45-AI45-AG46</f>
        <v>45</v>
      </c>
      <c r="AI46" s="103">
        <v>76</v>
      </c>
      <c r="AJ46" s="111">
        <f t="shared" si="38"/>
        <v>883</v>
      </c>
      <c r="AK46" s="176">
        <v>87</v>
      </c>
      <c r="AL46" s="103">
        <f>359-87</f>
        <v>272</v>
      </c>
      <c r="AM46" s="101">
        <f t="shared" si="49"/>
        <v>42</v>
      </c>
      <c r="AN46" s="103">
        <v>17</v>
      </c>
      <c r="AO46" s="166">
        <f t="shared" si="39"/>
        <v>359</v>
      </c>
      <c r="AP46" s="127">
        <v>50</v>
      </c>
      <c r="AQ46" s="103">
        <f>316-50</f>
        <v>266</v>
      </c>
      <c r="AR46" s="101">
        <f>AT45-AS45-AQ46</f>
        <v>34</v>
      </c>
      <c r="AS46" s="103">
        <v>30</v>
      </c>
      <c r="AT46" s="111">
        <f t="shared" si="40"/>
        <v>316</v>
      </c>
      <c r="AU46" s="176">
        <v>82</v>
      </c>
      <c r="AV46" s="103">
        <f>421-82</f>
        <v>339</v>
      </c>
      <c r="AW46" s="101">
        <f>AY45-AX45-AV46</f>
        <v>24</v>
      </c>
      <c r="AX46" s="103">
        <v>55</v>
      </c>
      <c r="AY46" s="166">
        <f t="shared" si="36"/>
        <v>421</v>
      </c>
      <c r="AZ46" s="127">
        <v>81</v>
      </c>
      <c r="BA46" s="103">
        <f>365-81</f>
        <v>284</v>
      </c>
      <c r="BB46" s="101">
        <f>BD45-BC45-BA46</f>
        <v>45</v>
      </c>
      <c r="BC46" s="103">
        <v>14</v>
      </c>
      <c r="BD46" s="111">
        <f t="shared" si="42"/>
        <v>365</v>
      </c>
      <c r="BE46" s="176">
        <v>50</v>
      </c>
      <c r="BF46" s="103">
        <f>224-50</f>
        <v>174</v>
      </c>
      <c r="BG46" s="101">
        <f t="shared" si="50"/>
        <v>14</v>
      </c>
      <c r="BH46" s="103">
        <v>18</v>
      </c>
      <c r="BI46" s="166">
        <f t="shared" si="44"/>
        <v>224</v>
      </c>
      <c r="BJ46" s="127"/>
      <c r="BK46" s="103"/>
      <c r="BL46" s="101"/>
      <c r="BM46" s="103"/>
      <c r="BN46" s="111"/>
      <c r="BO46" s="176"/>
      <c r="BP46" s="103"/>
      <c r="BQ46" s="103"/>
      <c r="BR46" s="103"/>
      <c r="BS46" s="103"/>
      <c r="BT46" s="166"/>
      <c r="BU46" s="127"/>
      <c r="BV46" s="176"/>
      <c r="BW46" s="176"/>
      <c r="BX46" s="176"/>
      <c r="BY46" s="176"/>
      <c r="BZ46" s="112"/>
      <c r="CA46" s="176"/>
      <c r="CB46" s="176"/>
      <c r="CC46" s="176"/>
      <c r="CD46" s="176"/>
      <c r="CE46" s="176"/>
      <c r="CF46" s="160"/>
      <c r="CG46" s="127"/>
      <c r="CH46" s="176"/>
      <c r="CI46" s="176"/>
      <c r="CJ46" s="176"/>
      <c r="CK46" s="176"/>
      <c r="CL46" s="112"/>
      <c r="CM46" s="176"/>
      <c r="CN46" s="176"/>
      <c r="CO46" s="176"/>
      <c r="CP46" s="176"/>
      <c r="CQ46" s="176"/>
      <c r="CR46" s="160"/>
      <c r="CS46" s="127"/>
      <c r="CT46" s="176"/>
      <c r="CU46" s="176"/>
      <c r="CV46" s="176"/>
      <c r="CW46" s="176"/>
      <c r="CX46" s="112"/>
      <c r="CY46" s="127"/>
      <c r="CZ46" s="176"/>
      <c r="DA46" s="176"/>
      <c r="DB46" s="176"/>
      <c r="DC46" s="176"/>
      <c r="DD46" s="112"/>
      <c r="DE46" s="176"/>
      <c r="DF46" s="176"/>
      <c r="DG46" s="176"/>
      <c r="DH46" s="176"/>
      <c r="DI46" s="176"/>
      <c r="DJ46" s="160"/>
      <c r="DK46" s="127"/>
      <c r="DL46" s="176"/>
      <c r="DM46" s="176"/>
      <c r="DN46" s="176"/>
      <c r="DO46" s="176"/>
      <c r="DP46" s="112"/>
      <c r="DQ46" s="176"/>
      <c r="DR46" s="176"/>
      <c r="DS46" s="176"/>
      <c r="DT46" s="176"/>
      <c r="DU46" s="176"/>
      <c r="DV46" s="160"/>
      <c r="DW46" s="127"/>
      <c r="DX46" s="176"/>
      <c r="DY46" s="176"/>
      <c r="DZ46" s="176"/>
      <c r="EA46" s="176"/>
      <c r="EB46" s="112"/>
      <c r="EC46" s="127"/>
      <c r="ED46" s="176"/>
      <c r="EE46" s="176"/>
      <c r="EF46" s="176"/>
      <c r="EG46" s="176"/>
      <c r="EH46" s="112"/>
      <c r="EI46" s="127"/>
      <c r="EJ46" s="176"/>
      <c r="EK46" s="176"/>
      <c r="EL46" s="176"/>
      <c r="EM46" s="176"/>
      <c r="EN46" s="112"/>
      <c r="EO46" s="127"/>
      <c r="EP46" s="176"/>
      <c r="EQ46" s="176"/>
      <c r="ER46" s="176"/>
      <c r="ES46" s="176"/>
      <c r="ET46" s="112"/>
      <c r="EU46" s="160"/>
      <c r="EV46" s="160"/>
      <c r="EW46" s="160"/>
      <c r="EX46" s="160"/>
      <c r="EY46" s="160"/>
      <c r="EZ46" s="160"/>
      <c r="FA46" s="171">
        <f t="shared" si="53"/>
        <v>610</v>
      </c>
      <c r="FB46" s="100">
        <f t="shared" si="51"/>
        <v>2516</v>
      </c>
      <c r="FC46" s="100"/>
      <c r="FD46" s="101">
        <f t="shared" si="52"/>
        <v>299</v>
      </c>
      <c r="FE46" s="141">
        <f t="shared" ref="FE46:FE64" si="54">SUM(E46+J46+O46+T46+Y46+AD46+AI46+AN46+AS46+AX46+BC46+BH46+BM46)</f>
        <v>229</v>
      </c>
      <c r="FF46" s="111">
        <f t="shared" si="45"/>
        <v>3126</v>
      </c>
      <c r="FG46" s="40"/>
      <c r="FI46" s="232"/>
      <c r="FJ46" s="232"/>
    </row>
    <row r="47" spans="1:172" ht="12" customHeight="1" x14ac:dyDescent="0.2">
      <c r="A47" s="259" t="s">
        <v>57</v>
      </c>
      <c r="B47" s="71"/>
      <c r="C47" s="72"/>
      <c r="D47" s="72"/>
      <c r="E47" s="73"/>
      <c r="F47" s="74"/>
      <c r="G47" s="75"/>
      <c r="H47" s="73"/>
      <c r="I47" s="73"/>
      <c r="J47" s="73"/>
      <c r="K47" s="76"/>
      <c r="L47" s="190"/>
      <c r="M47" s="73"/>
      <c r="N47" s="73"/>
      <c r="O47" s="73"/>
      <c r="P47" s="199"/>
      <c r="Q47" s="75"/>
      <c r="R47" s="73"/>
      <c r="S47" s="73"/>
      <c r="T47" s="73"/>
      <c r="U47" s="76"/>
      <c r="V47" s="129">
        <v>43</v>
      </c>
      <c r="W47" s="96">
        <v>313</v>
      </c>
      <c r="X47" s="97">
        <f t="shared" si="47"/>
        <v>53</v>
      </c>
      <c r="Y47" s="96">
        <v>20</v>
      </c>
      <c r="Z47" s="114">
        <v>356</v>
      </c>
      <c r="AA47" s="178">
        <v>0</v>
      </c>
      <c r="AB47" s="97">
        <v>131</v>
      </c>
      <c r="AC47" s="97">
        <f t="shared" si="48"/>
        <v>42</v>
      </c>
      <c r="AD47" s="96">
        <v>4</v>
      </c>
      <c r="AE47" s="167">
        <f t="shared" si="37"/>
        <v>131</v>
      </c>
      <c r="AF47" s="129">
        <v>79</v>
      </c>
      <c r="AG47" s="96">
        <v>765</v>
      </c>
      <c r="AH47" s="97">
        <f>AJ46-AI46-AG47</f>
        <v>42</v>
      </c>
      <c r="AI47" s="96">
        <v>68</v>
      </c>
      <c r="AJ47" s="114">
        <f t="shared" si="38"/>
        <v>844</v>
      </c>
      <c r="AK47" s="205">
        <v>59</v>
      </c>
      <c r="AL47" s="96">
        <v>298</v>
      </c>
      <c r="AM47" s="97">
        <f t="shared" si="49"/>
        <v>44</v>
      </c>
      <c r="AN47" s="96">
        <v>32</v>
      </c>
      <c r="AO47" s="167">
        <f t="shared" si="39"/>
        <v>357</v>
      </c>
      <c r="AP47" s="149">
        <v>0</v>
      </c>
      <c r="AQ47" s="96">
        <v>247</v>
      </c>
      <c r="AR47" s="97">
        <f>AT46-AS46-AQ47</f>
        <v>39</v>
      </c>
      <c r="AS47" s="96">
        <v>19</v>
      </c>
      <c r="AT47" s="114">
        <f t="shared" ref="AT47:AT61" si="55">SUM(AP47+AQ47)</f>
        <v>247</v>
      </c>
      <c r="AU47" s="205">
        <v>34</v>
      </c>
      <c r="AV47" s="96">
        <v>311</v>
      </c>
      <c r="AW47" s="97">
        <f>AY46-AX46-AV47</f>
        <v>55</v>
      </c>
      <c r="AX47" s="96">
        <v>25</v>
      </c>
      <c r="AY47" s="167">
        <f t="shared" ref="AY47:AY61" si="56">SUM(AU47+AV47)</f>
        <v>345</v>
      </c>
      <c r="AZ47" s="129">
        <v>45</v>
      </c>
      <c r="BA47" s="96">
        <v>288</v>
      </c>
      <c r="BB47" s="97">
        <f>BD46-BC46-BA47</f>
        <v>63</v>
      </c>
      <c r="BC47" s="96">
        <v>27</v>
      </c>
      <c r="BD47" s="114">
        <f t="shared" ref="BD47:BD58" si="57">SUM(AZ47+BA47)</f>
        <v>333</v>
      </c>
      <c r="BE47" s="178">
        <v>0</v>
      </c>
      <c r="BF47" s="96">
        <v>180</v>
      </c>
      <c r="BG47" s="97">
        <f>SUM(BI46-BF47-BH46)</f>
        <v>26</v>
      </c>
      <c r="BH47" s="96">
        <v>8</v>
      </c>
      <c r="BI47" s="167">
        <f t="shared" ref="BI47:BI61" si="58">SUM(BE47+BF47)</f>
        <v>180</v>
      </c>
      <c r="BJ47" s="149"/>
      <c r="BK47" s="96"/>
      <c r="BL47" s="97"/>
      <c r="BM47" s="96"/>
      <c r="BN47" s="114"/>
      <c r="BO47" s="150"/>
      <c r="BP47" s="88"/>
      <c r="BQ47" s="88"/>
      <c r="BR47" s="88"/>
      <c r="BS47" s="88"/>
      <c r="BT47" s="168"/>
      <c r="BU47" s="152"/>
      <c r="BV47" s="150"/>
      <c r="BW47" s="150"/>
      <c r="BX47" s="150"/>
      <c r="BY47" s="150"/>
      <c r="BZ47" s="217"/>
      <c r="CA47" s="150"/>
      <c r="CB47" s="150"/>
      <c r="CC47" s="150"/>
      <c r="CD47" s="150"/>
      <c r="CE47" s="150"/>
      <c r="CF47" s="222"/>
      <c r="CG47" s="152"/>
      <c r="CH47" s="150"/>
      <c r="CI47" s="150"/>
      <c r="CJ47" s="150"/>
      <c r="CK47" s="150"/>
      <c r="CL47" s="217"/>
      <c r="CM47" s="150"/>
      <c r="CN47" s="150"/>
      <c r="CO47" s="150"/>
      <c r="CP47" s="150"/>
      <c r="CQ47" s="150"/>
      <c r="CR47" s="222"/>
      <c r="CS47" s="152"/>
      <c r="CT47" s="150"/>
      <c r="CU47" s="150"/>
      <c r="CV47" s="150"/>
      <c r="CW47" s="150"/>
      <c r="CX47" s="217"/>
      <c r="CY47" s="152"/>
      <c r="CZ47" s="150"/>
      <c r="DA47" s="150"/>
      <c r="DB47" s="150"/>
      <c r="DC47" s="150"/>
      <c r="DD47" s="217"/>
      <c r="DE47" s="150"/>
      <c r="DF47" s="150"/>
      <c r="DG47" s="150"/>
      <c r="DH47" s="150"/>
      <c r="DI47" s="150"/>
      <c r="DJ47" s="222"/>
      <c r="DK47" s="152"/>
      <c r="DL47" s="150"/>
      <c r="DM47" s="150"/>
      <c r="DN47" s="150"/>
      <c r="DO47" s="150"/>
      <c r="DP47" s="217"/>
      <c r="DQ47" s="150"/>
      <c r="DR47" s="150"/>
      <c r="DS47" s="150"/>
      <c r="DT47" s="150"/>
      <c r="DU47" s="150"/>
      <c r="DV47" s="222"/>
      <c r="DW47" s="152"/>
      <c r="DX47" s="150"/>
      <c r="DY47" s="150"/>
      <c r="DZ47" s="150"/>
      <c r="EA47" s="150"/>
      <c r="EB47" s="217"/>
      <c r="EC47" s="152"/>
      <c r="ED47" s="150"/>
      <c r="EE47" s="150"/>
      <c r="EF47" s="150"/>
      <c r="EG47" s="150"/>
      <c r="EH47" s="217"/>
      <c r="EI47" s="152"/>
      <c r="EJ47" s="150"/>
      <c r="EK47" s="150"/>
      <c r="EL47" s="150"/>
      <c r="EM47" s="150"/>
      <c r="EN47" s="217"/>
      <c r="EO47" s="152"/>
      <c r="EP47" s="150"/>
      <c r="EQ47" s="150"/>
      <c r="ER47" s="150"/>
      <c r="ES47" s="150"/>
      <c r="ET47" s="217"/>
      <c r="EU47" s="222"/>
      <c r="EV47" s="222"/>
      <c r="EW47" s="222"/>
      <c r="EX47" s="222"/>
      <c r="EY47" s="222"/>
      <c r="EZ47" s="222"/>
      <c r="FA47" s="171">
        <f t="shared" si="53"/>
        <v>260</v>
      </c>
      <c r="FB47" s="100">
        <f t="shared" si="51"/>
        <v>2533</v>
      </c>
      <c r="FC47" s="137"/>
      <c r="FD47" s="97">
        <f t="shared" ref="FD47:FD58" si="59">SUM(FF46-FB47-FE46)</f>
        <v>364</v>
      </c>
      <c r="FE47" s="141">
        <f t="shared" si="54"/>
        <v>203</v>
      </c>
      <c r="FF47" s="114">
        <f t="shared" ref="FF47:FF64" si="60">SUM(FA47+FB47)</f>
        <v>2793</v>
      </c>
      <c r="FG47" s="40"/>
      <c r="FI47" s="232"/>
      <c r="FJ47" s="232"/>
      <c r="FK47" s="232"/>
      <c r="FL47" s="232"/>
      <c r="FM47" s="232"/>
      <c r="FN47" s="232"/>
      <c r="FO47" s="232"/>
      <c r="FP47" s="232"/>
    </row>
    <row r="48" spans="1:172" ht="12" customHeight="1" x14ac:dyDescent="0.2">
      <c r="A48" s="43" t="s">
        <v>58</v>
      </c>
      <c r="B48" s="51"/>
      <c r="C48" s="36"/>
      <c r="D48" s="36"/>
      <c r="E48" s="33"/>
      <c r="F48" s="52"/>
      <c r="G48" s="55"/>
      <c r="H48" s="33"/>
      <c r="I48" s="33"/>
      <c r="J48" s="33"/>
      <c r="K48" s="56"/>
      <c r="L48" s="78"/>
      <c r="M48" s="33"/>
      <c r="N48" s="33"/>
      <c r="O48" s="33"/>
      <c r="P48" s="198"/>
      <c r="Q48" s="55"/>
      <c r="R48" s="33"/>
      <c r="S48" s="33"/>
      <c r="T48" s="33"/>
      <c r="U48" s="56"/>
      <c r="V48" s="134">
        <v>89</v>
      </c>
      <c r="W48" s="88">
        <v>300</v>
      </c>
      <c r="X48" s="87">
        <f t="shared" si="47"/>
        <v>36</v>
      </c>
      <c r="Y48" s="88">
        <v>21</v>
      </c>
      <c r="Z48" s="115">
        <f t="shared" ref="Z48:Z61" si="61">SUM(V48+W48)</f>
        <v>389</v>
      </c>
      <c r="AA48" s="150">
        <v>42</v>
      </c>
      <c r="AB48" s="87">
        <v>117</v>
      </c>
      <c r="AC48" s="87">
        <f t="shared" si="48"/>
        <v>10</v>
      </c>
      <c r="AD48" s="88">
        <v>3</v>
      </c>
      <c r="AE48" s="168">
        <f t="shared" si="37"/>
        <v>159</v>
      </c>
      <c r="AF48" s="134">
        <v>181</v>
      </c>
      <c r="AG48" s="88">
        <v>741</v>
      </c>
      <c r="AH48" s="87">
        <f>AJ47-AI47-AG48</f>
        <v>35</v>
      </c>
      <c r="AI48" s="88">
        <v>64</v>
      </c>
      <c r="AJ48" s="115">
        <f t="shared" si="38"/>
        <v>922</v>
      </c>
      <c r="AK48" s="130">
        <v>81</v>
      </c>
      <c r="AL48" s="88">
        <v>300</v>
      </c>
      <c r="AM48" s="87">
        <f t="shared" si="49"/>
        <v>25</v>
      </c>
      <c r="AN48" s="88">
        <v>27</v>
      </c>
      <c r="AO48" s="168">
        <f t="shared" si="39"/>
        <v>381</v>
      </c>
      <c r="AP48" s="152">
        <v>44</v>
      </c>
      <c r="AQ48" s="88">
        <v>199</v>
      </c>
      <c r="AR48" s="87">
        <f>AT47-AS47-AQ48</f>
        <v>29</v>
      </c>
      <c r="AS48" s="88">
        <v>14</v>
      </c>
      <c r="AT48" s="115">
        <f t="shared" si="55"/>
        <v>243</v>
      </c>
      <c r="AU48" s="130">
        <v>92</v>
      </c>
      <c r="AV48" s="88">
        <v>289</v>
      </c>
      <c r="AW48" s="87">
        <f>AY47-AX47-AV48</f>
        <v>31</v>
      </c>
      <c r="AX48" s="88">
        <v>24</v>
      </c>
      <c r="AY48" s="168">
        <f t="shared" si="56"/>
        <v>381</v>
      </c>
      <c r="AZ48" s="134">
        <v>83</v>
      </c>
      <c r="BA48" s="88">
        <v>263</v>
      </c>
      <c r="BB48" s="87">
        <f>BD47-BC47-BA48</f>
        <v>43</v>
      </c>
      <c r="BC48" s="88">
        <v>15</v>
      </c>
      <c r="BD48" s="115">
        <f t="shared" si="57"/>
        <v>346</v>
      </c>
      <c r="BE48" s="150">
        <v>40</v>
      </c>
      <c r="BF48" s="88">
        <v>152</v>
      </c>
      <c r="BG48" s="87">
        <f>SUM(BI47-BF48-BH47)</f>
        <v>20</v>
      </c>
      <c r="BH48" s="88">
        <v>13</v>
      </c>
      <c r="BI48" s="168">
        <f t="shared" si="58"/>
        <v>192</v>
      </c>
      <c r="BJ48" s="152"/>
      <c r="BK48" s="88"/>
      <c r="BL48" s="87"/>
      <c r="BM48" s="88"/>
      <c r="BN48" s="115"/>
      <c r="BO48" s="150"/>
      <c r="BP48" s="88"/>
      <c r="BQ48" s="88"/>
      <c r="BR48" s="88"/>
      <c r="BS48" s="88"/>
      <c r="BT48" s="168"/>
      <c r="BU48" s="152"/>
      <c r="BV48" s="150"/>
      <c r="BW48" s="150"/>
      <c r="BX48" s="150"/>
      <c r="BY48" s="150"/>
      <c r="BZ48" s="217"/>
      <c r="CA48" s="150"/>
      <c r="CB48" s="150"/>
      <c r="CC48" s="150"/>
      <c r="CD48" s="150"/>
      <c r="CE48" s="150"/>
      <c r="CF48" s="222"/>
      <c r="CG48" s="152"/>
      <c r="CH48" s="150"/>
      <c r="CI48" s="150"/>
      <c r="CJ48" s="150"/>
      <c r="CK48" s="150"/>
      <c r="CL48" s="217"/>
      <c r="CM48" s="150"/>
      <c r="CN48" s="150"/>
      <c r="CO48" s="150"/>
      <c r="CP48" s="150"/>
      <c r="CQ48" s="150"/>
      <c r="CR48" s="222"/>
      <c r="CS48" s="152"/>
      <c r="CT48" s="150"/>
      <c r="CU48" s="150"/>
      <c r="CV48" s="150"/>
      <c r="CW48" s="150"/>
      <c r="CX48" s="217"/>
      <c r="CY48" s="152"/>
      <c r="CZ48" s="150"/>
      <c r="DA48" s="150"/>
      <c r="DB48" s="150"/>
      <c r="DC48" s="150"/>
      <c r="DD48" s="217"/>
      <c r="DE48" s="150"/>
      <c r="DF48" s="150"/>
      <c r="DG48" s="150"/>
      <c r="DH48" s="150"/>
      <c r="DI48" s="150"/>
      <c r="DJ48" s="222"/>
      <c r="DK48" s="152"/>
      <c r="DL48" s="150"/>
      <c r="DM48" s="150"/>
      <c r="DN48" s="150"/>
      <c r="DO48" s="150"/>
      <c r="DP48" s="217"/>
      <c r="DQ48" s="150"/>
      <c r="DR48" s="150"/>
      <c r="DS48" s="150"/>
      <c r="DT48" s="150"/>
      <c r="DU48" s="150"/>
      <c r="DV48" s="222"/>
      <c r="DW48" s="152"/>
      <c r="DX48" s="150"/>
      <c r="DY48" s="150"/>
      <c r="DZ48" s="150"/>
      <c r="EA48" s="150"/>
      <c r="EB48" s="217"/>
      <c r="EC48" s="152"/>
      <c r="ED48" s="150"/>
      <c r="EE48" s="150"/>
      <c r="EF48" s="150"/>
      <c r="EG48" s="150"/>
      <c r="EH48" s="217"/>
      <c r="EI48" s="152"/>
      <c r="EJ48" s="150"/>
      <c r="EK48" s="150"/>
      <c r="EL48" s="150"/>
      <c r="EM48" s="150"/>
      <c r="EN48" s="217"/>
      <c r="EO48" s="152"/>
      <c r="EP48" s="150"/>
      <c r="EQ48" s="150"/>
      <c r="ER48" s="150"/>
      <c r="ES48" s="150"/>
      <c r="ET48" s="217"/>
      <c r="EU48" s="222"/>
      <c r="EV48" s="222"/>
      <c r="EW48" s="222"/>
      <c r="EX48" s="222"/>
      <c r="EY48" s="222"/>
      <c r="EZ48" s="222"/>
      <c r="FA48" s="171">
        <f t="shared" si="53"/>
        <v>652</v>
      </c>
      <c r="FB48" s="100">
        <f t="shared" si="51"/>
        <v>2361</v>
      </c>
      <c r="FC48" s="100"/>
      <c r="FD48" s="87">
        <f t="shared" si="59"/>
        <v>229</v>
      </c>
      <c r="FE48" s="141">
        <f t="shared" si="54"/>
        <v>181</v>
      </c>
      <c r="FF48" s="115">
        <f t="shared" si="60"/>
        <v>3013</v>
      </c>
      <c r="FG48" s="232"/>
      <c r="FI48" s="232"/>
      <c r="FJ48" s="232"/>
      <c r="FK48" s="232"/>
      <c r="FL48" s="232"/>
      <c r="FM48" s="232"/>
      <c r="FN48" s="232"/>
      <c r="FO48" s="232"/>
      <c r="FP48" s="232"/>
    </row>
    <row r="49" spans="1:172" ht="12" customHeight="1" x14ac:dyDescent="0.2">
      <c r="A49" s="260" t="s">
        <v>59</v>
      </c>
      <c r="B49" s="79"/>
      <c r="C49" s="80"/>
      <c r="D49" s="80"/>
      <c r="E49" s="81"/>
      <c r="F49" s="82"/>
      <c r="G49" s="83"/>
      <c r="H49" s="81"/>
      <c r="I49" s="84"/>
      <c r="J49" s="84"/>
      <c r="K49" s="85"/>
      <c r="L49" s="191"/>
      <c r="M49" s="81"/>
      <c r="N49" s="81"/>
      <c r="O49" s="81"/>
      <c r="P49" s="200"/>
      <c r="Q49" s="83"/>
      <c r="R49" s="81"/>
      <c r="S49" s="81"/>
      <c r="T49" s="81"/>
      <c r="U49" s="86"/>
      <c r="V49" s="131">
        <v>45</v>
      </c>
      <c r="W49" s="132">
        <v>282</v>
      </c>
      <c r="X49" s="87">
        <f t="shared" si="47"/>
        <v>86</v>
      </c>
      <c r="Y49" s="88">
        <v>11</v>
      </c>
      <c r="Z49" s="133">
        <f t="shared" si="61"/>
        <v>327</v>
      </c>
      <c r="AA49" s="206">
        <v>44</v>
      </c>
      <c r="AB49" s="155">
        <v>110</v>
      </c>
      <c r="AC49" s="87">
        <f>SUM(AE48-AB49-AD48)</f>
        <v>46</v>
      </c>
      <c r="AD49" s="88">
        <v>3</v>
      </c>
      <c r="AE49" s="207">
        <f t="shared" si="37"/>
        <v>154</v>
      </c>
      <c r="AF49" s="153">
        <v>100</v>
      </c>
      <c r="AG49" s="132">
        <v>768</v>
      </c>
      <c r="AH49" s="87">
        <f>SUM(AJ48-AG49-AI48)</f>
        <v>90</v>
      </c>
      <c r="AI49" s="88">
        <v>62</v>
      </c>
      <c r="AJ49" s="133">
        <f t="shared" si="38"/>
        <v>868</v>
      </c>
      <c r="AK49" s="208">
        <v>51</v>
      </c>
      <c r="AL49" s="132">
        <v>301</v>
      </c>
      <c r="AM49" s="87">
        <f>SUM(AO48-AL49-AN48)</f>
        <v>53</v>
      </c>
      <c r="AN49" s="88">
        <v>17</v>
      </c>
      <c r="AO49" s="207">
        <f t="shared" si="39"/>
        <v>352</v>
      </c>
      <c r="AP49" s="154">
        <v>54</v>
      </c>
      <c r="AQ49" s="132">
        <v>197</v>
      </c>
      <c r="AR49" s="87">
        <f>SUM(AT48-AQ49-AS48)</f>
        <v>32</v>
      </c>
      <c r="AS49" s="88">
        <v>18</v>
      </c>
      <c r="AT49" s="133">
        <f t="shared" si="55"/>
        <v>251</v>
      </c>
      <c r="AU49" s="208">
        <v>52</v>
      </c>
      <c r="AV49" s="132">
        <v>312</v>
      </c>
      <c r="AW49" s="87">
        <f>SUM(AY48-AV49-AX48)</f>
        <v>45</v>
      </c>
      <c r="AX49" s="88">
        <v>33</v>
      </c>
      <c r="AY49" s="207">
        <f t="shared" si="56"/>
        <v>364</v>
      </c>
      <c r="AZ49" s="153">
        <v>50</v>
      </c>
      <c r="BA49" s="132">
        <v>278</v>
      </c>
      <c r="BB49" s="87">
        <f>SUM(BD48-BA49-BC48)</f>
        <v>53</v>
      </c>
      <c r="BC49" s="88">
        <v>14</v>
      </c>
      <c r="BD49" s="116">
        <f t="shared" si="57"/>
        <v>328</v>
      </c>
      <c r="BE49" s="212">
        <v>0</v>
      </c>
      <c r="BF49" s="132">
        <v>162</v>
      </c>
      <c r="BG49" s="87">
        <f>SUM(BI48-BF49-BH48)</f>
        <v>17</v>
      </c>
      <c r="BH49" s="88">
        <v>13</v>
      </c>
      <c r="BI49" s="169">
        <f t="shared" si="58"/>
        <v>162</v>
      </c>
      <c r="BJ49" s="151"/>
      <c r="BK49" s="132"/>
      <c r="BL49" s="87"/>
      <c r="BM49" s="88"/>
      <c r="BN49" s="116"/>
      <c r="BO49" s="177"/>
      <c r="BP49" s="173"/>
      <c r="BQ49" s="173"/>
      <c r="BR49" s="173"/>
      <c r="BS49" s="173"/>
      <c r="BT49" s="213"/>
      <c r="BU49" s="218"/>
      <c r="BV49" s="177"/>
      <c r="BW49" s="177"/>
      <c r="BX49" s="177"/>
      <c r="BY49" s="177"/>
      <c r="BZ49" s="219"/>
      <c r="CA49" s="177"/>
      <c r="CB49" s="177"/>
      <c r="CC49" s="177"/>
      <c r="CD49" s="177"/>
      <c r="CE49" s="177"/>
      <c r="CF49" s="223"/>
      <c r="CG49" s="218"/>
      <c r="CH49" s="177"/>
      <c r="CI49" s="177"/>
      <c r="CJ49" s="177"/>
      <c r="CK49" s="177"/>
      <c r="CL49" s="219"/>
      <c r="CM49" s="177"/>
      <c r="CN49" s="177"/>
      <c r="CO49" s="177"/>
      <c r="CP49" s="177"/>
      <c r="CQ49" s="177"/>
      <c r="CR49" s="223"/>
      <c r="CS49" s="218"/>
      <c r="CT49" s="177"/>
      <c r="CU49" s="177"/>
      <c r="CV49" s="177"/>
      <c r="CW49" s="177"/>
      <c r="CX49" s="219"/>
      <c r="CY49" s="218"/>
      <c r="CZ49" s="177"/>
      <c r="DA49" s="177"/>
      <c r="DB49" s="177"/>
      <c r="DC49" s="177"/>
      <c r="DD49" s="219"/>
      <c r="DE49" s="177"/>
      <c r="DF49" s="177"/>
      <c r="DG49" s="177"/>
      <c r="DH49" s="177"/>
      <c r="DI49" s="177"/>
      <c r="DJ49" s="223"/>
      <c r="DK49" s="218"/>
      <c r="DL49" s="177"/>
      <c r="DM49" s="177"/>
      <c r="DN49" s="177"/>
      <c r="DO49" s="177"/>
      <c r="DP49" s="219"/>
      <c r="DQ49" s="177"/>
      <c r="DR49" s="177"/>
      <c r="DS49" s="177"/>
      <c r="DT49" s="177"/>
      <c r="DU49" s="177"/>
      <c r="DV49" s="223"/>
      <c r="DW49" s="218"/>
      <c r="DX49" s="177"/>
      <c r="DY49" s="177"/>
      <c r="DZ49" s="177"/>
      <c r="EA49" s="177"/>
      <c r="EB49" s="219"/>
      <c r="EC49" s="218"/>
      <c r="ED49" s="177"/>
      <c r="EE49" s="177"/>
      <c r="EF49" s="177"/>
      <c r="EG49" s="177"/>
      <c r="EH49" s="219"/>
      <c r="EI49" s="218"/>
      <c r="EJ49" s="177"/>
      <c r="EK49" s="177"/>
      <c r="EL49" s="177"/>
      <c r="EM49" s="177"/>
      <c r="EN49" s="219"/>
      <c r="EO49" s="218"/>
      <c r="EP49" s="177"/>
      <c r="EQ49" s="177"/>
      <c r="ER49" s="177"/>
      <c r="ES49" s="177"/>
      <c r="ET49" s="219"/>
      <c r="EU49" s="223"/>
      <c r="EV49" s="223"/>
      <c r="EW49" s="223"/>
      <c r="EX49" s="223"/>
      <c r="EY49" s="223"/>
      <c r="EZ49" s="223"/>
      <c r="FA49" s="171">
        <f t="shared" si="53"/>
        <v>396</v>
      </c>
      <c r="FB49" s="100">
        <f t="shared" si="51"/>
        <v>2410</v>
      </c>
      <c r="FC49" s="357"/>
      <c r="FD49" s="142">
        <f t="shared" si="59"/>
        <v>422</v>
      </c>
      <c r="FE49" s="141">
        <f t="shared" si="54"/>
        <v>171</v>
      </c>
      <c r="FF49" s="116">
        <f t="shared" si="60"/>
        <v>2806</v>
      </c>
      <c r="FG49" s="40"/>
      <c r="FI49" s="232"/>
      <c r="FJ49" s="232"/>
      <c r="FK49" s="232"/>
      <c r="FL49" s="232"/>
      <c r="FM49" s="232"/>
      <c r="FN49" s="232"/>
      <c r="FO49" s="232"/>
      <c r="FP49" s="232"/>
    </row>
    <row r="50" spans="1:172" ht="12" customHeight="1" x14ac:dyDescent="0.2">
      <c r="A50" s="43" t="s">
        <v>60</v>
      </c>
      <c r="B50" s="51"/>
      <c r="C50" s="36"/>
      <c r="D50" s="36"/>
      <c r="E50" s="33"/>
      <c r="F50" s="52"/>
      <c r="G50" s="55"/>
      <c r="H50" s="33"/>
      <c r="I50" s="33"/>
      <c r="J50" s="33"/>
      <c r="K50" s="56"/>
      <c r="L50" s="78"/>
      <c r="M50" s="33"/>
      <c r="N50" s="33"/>
      <c r="O50" s="33"/>
      <c r="P50" s="198"/>
      <c r="Q50" s="55"/>
      <c r="R50" s="33"/>
      <c r="S50" s="33"/>
      <c r="T50" s="33"/>
      <c r="U50" s="56"/>
      <c r="V50" s="134">
        <v>92</v>
      </c>
      <c r="W50" s="88">
        <v>263</v>
      </c>
      <c r="X50" s="87">
        <f t="shared" si="47"/>
        <v>53</v>
      </c>
      <c r="Y50" s="88">
        <v>14</v>
      </c>
      <c r="Z50" s="115">
        <f t="shared" si="61"/>
        <v>355</v>
      </c>
      <c r="AA50" s="150">
        <v>35</v>
      </c>
      <c r="AB50" s="87">
        <v>115</v>
      </c>
      <c r="AC50" s="87">
        <f>SUM(AE49-AB50-AD49)</f>
        <v>36</v>
      </c>
      <c r="AD50" s="88">
        <v>9</v>
      </c>
      <c r="AE50" s="168">
        <f>SUM(AA50+AB50)</f>
        <v>150</v>
      </c>
      <c r="AF50" s="134">
        <v>201</v>
      </c>
      <c r="AG50" s="88">
        <v>752</v>
      </c>
      <c r="AH50" s="87">
        <f>SUM(AJ49-AG50-AI49)</f>
        <v>54</v>
      </c>
      <c r="AI50" s="87">
        <v>100</v>
      </c>
      <c r="AJ50" s="115">
        <f t="shared" si="38"/>
        <v>953</v>
      </c>
      <c r="AK50" s="130">
        <v>82</v>
      </c>
      <c r="AL50" s="88">
        <v>309</v>
      </c>
      <c r="AM50" s="87">
        <f>SUM(AO49-AL50-AN49)</f>
        <v>26</v>
      </c>
      <c r="AN50" s="87">
        <v>18</v>
      </c>
      <c r="AO50" s="168">
        <f t="shared" si="39"/>
        <v>391</v>
      </c>
      <c r="AP50" s="152">
        <v>51</v>
      </c>
      <c r="AQ50" s="88">
        <v>201</v>
      </c>
      <c r="AR50" s="87">
        <f>SUM(AT49-AQ50-AS49)</f>
        <v>32</v>
      </c>
      <c r="AS50" s="88">
        <v>25</v>
      </c>
      <c r="AT50" s="115">
        <f t="shared" si="55"/>
        <v>252</v>
      </c>
      <c r="AU50" s="378">
        <v>107</v>
      </c>
      <c r="AV50" s="88">
        <v>298</v>
      </c>
      <c r="AW50" s="87">
        <f>SUM(AY49-AV50-AX49)</f>
        <v>33</v>
      </c>
      <c r="AX50" s="88">
        <v>15</v>
      </c>
      <c r="AY50" s="168">
        <f t="shared" si="56"/>
        <v>405</v>
      </c>
      <c r="AZ50" s="134">
        <v>151</v>
      </c>
      <c r="BA50" s="88">
        <v>269</v>
      </c>
      <c r="BB50" s="87">
        <f>SUM(BD49-BA50-BC49)</f>
        <v>45</v>
      </c>
      <c r="BC50" s="88">
        <v>13</v>
      </c>
      <c r="BD50" s="115">
        <f t="shared" si="57"/>
        <v>420</v>
      </c>
      <c r="BE50" s="150">
        <v>58</v>
      </c>
      <c r="BF50" s="88">
        <v>132</v>
      </c>
      <c r="BG50" s="87">
        <f>SUM(BI49-BF50-BH49)</f>
        <v>17</v>
      </c>
      <c r="BH50" s="88">
        <v>21</v>
      </c>
      <c r="BI50" s="168">
        <f t="shared" si="58"/>
        <v>190</v>
      </c>
      <c r="BJ50" s="152"/>
      <c r="BK50" s="88"/>
      <c r="BL50" s="87"/>
      <c r="BM50" s="88"/>
      <c r="BN50" s="115"/>
      <c r="BO50" s="150"/>
      <c r="BP50" s="88"/>
      <c r="BQ50" s="88"/>
      <c r="BR50" s="88"/>
      <c r="BS50" s="88"/>
      <c r="BT50" s="168"/>
      <c r="BU50" s="152"/>
      <c r="BV50" s="150"/>
      <c r="BW50" s="150"/>
      <c r="BX50" s="150"/>
      <c r="BY50" s="150"/>
      <c r="BZ50" s="217"/>
      <c r="CA50" s="150"/>
      <c r="CB50" s="150"/>
      <c r="CC50" s="150"/>
      <c r="CD50" s="150"/>
      <c r="CE50" s="150"/>
      <c r="CF50" s="222"/>
      <c r="CG50" s="152"/>
      <c r="CH50" s="150"/>
      <c r="CI50" s="150"/>
      <c r="CJ50" s="150"/>
      <c r="CK50" s="150"/>
      <c r="CL50" s="217"/>
      <c r="CM50" s="150"/>
      <c r="CN50" s="150"/>
      <c r="CO50" s="150"/>
      <c r="CP50" s="150"/>
      <c r="CQ50" s="150"/>
      <c r="CR50" s="222"/>
      <c r="CS50" s="152"/>
      <c r="CT50" s="150"/>
      <c r="CU50" s="150"/>
      <c r="CV50" s="150"/>
      <c r="CW50" s="150"/>
      <c r="CX50" s="217"/>
      <c r="CY50" s="152"/>
      <c r="CZ50" s="150"/>
      <c r="DA50" s="150"/>
      <c r="DB50" s="150"/>
      <c r="DC50" s="150"/>
      <c r="DD50" s="217"/>
      <c r="DE50" s="150"/>
      <c r="DF50" s="150"/>
      <c r="DG50" s="150"/>
      <c r="DH50" s="150"/>
      <c r="DI50" s="150"/>
      <c r="DJ50" s="222"/>
      <c r="DK50" s="152"/>
      <c r="DL50" s="150"/>
      <c r="DM50" s="150"/>
      <c r="DN50" s="150"/>
      <c r="DO50" s="150"/>
      <c r="DP50" s="217"/>
      <c r="DQ50" s="150"/>
      <c r="DR50" s="150"/>
      <c r="DS50" s="150"/>
      <c r="DT50" s="150"/>
      <c r="DU50" s="150"/>
      <c r="DV50" s="222"/>
      <c r="DW50" s="152"/>
      <c r="DX50" s="150"/>
      <c r="DY50" s="150"/>
      <c r="DZ50" s="150"/>
      <c r="EA50" s="150"/>
      <c r="EB50" s="217"/>
      <c r="EC50" s="152"/>
      <c r="ED50" s="150"/>
      <c r="EE50" s="150"/>
      <c r="EF50" s="150"/>
      <c r="EG50" s="150"/>
      <c r="EH50" s="217"/>
      <c r="EI50" s="152"/>
      <c r="EJ50" s="150"/>
      <c r="EK50" s="150"/>
      <c r="EL50" s="150"/>
      <c r="EM50" s="150"/>
      <c r="EN50" s="217"/>
      <c r="EO50" s="152"/>
      <c r="EP50" s="150"/>
      <c r="EQ50" s="150"/>
      <c r="ER50" s="150"/>
      <c r="ES50" s="150"/>
      <c r="ET50" s="217"/>
      <c r="EU50" s="222"/>
      <c r="EV50" s="222"/>
      <c r="EW50" s="222"/>
      <c r="EX50" s="222"/>
      <c r="EY50" s="222"/>
      <c r="EZ50" s="222"/>
      <c r="FA50" s="171">
        <f t="shared" si="53"/>
        <v>777</v>
      </c>
      <c r="FB50" s="101">
        <f t="shared" si="51"/>
        <v>2339</v>
      </c>
      <c r="FC50" s="101"/>
      <c r="FD50" s="87">
        <f t="shared" si="59"/>
        <v>296</v>
      </c>
      <c r="FE50" s="143">
        <f t="shared" si="54"/>
        <v>215</v>
      </c>
      <c r="FF50" s="115">
        <f t="shared" si="60"/>
        <v>3116</v>
      </c>
      <c r="FG50" s="40"/>
      <c r="FI50" s="232"/>
      <c r="FJ50" s="232"/>
      <c r="FK50" s="232"/>
      <c r="FL50" s="232"/>
      <c r="FM50" s="232"/>
      <c r="FN50" s="232"/>
      <c r="FO50" s="232"/>
      <c r="FP50" s="232"/>
    </row>
    <row r="51" spans="1:172" ht="12" customHeight="1" x14ac:dyDescent="0.2">
      <c r="A51" s="66" t="s">
        <v>61</v>
      </c>
      <c r="B51" s="51"/>
      <c r="C51" s="36"/>
      <c r="D51" s="36"/>
      <c r="E51" s="33"/>
      <c r="F51" s="52"/>
      <c r="G51" s="55"/>
      <c r="H51" s="33"/>
      <c r="I51" s="33"/>
      <c r="J51" s="33"/>
      <c r="K51" s="56"/>
      <c r="L51" s="78"/>
      <c r="M51" s="33"/>
      <c r="N51" s="33"/>
      <c r="O51" s="33"/>
      <c r="P51" s="198"/>
      <c r="Q51" s="55"/>
      <c r="R51" s="33"/>
      <c r="S51" s="33"/>
      <c r="T51" s="33"/>
      <c r="U51" s="56"/>
      <c r="V51" s="134">
        <v>32</v>
      </c>
      <c r="W51" s="88">
        <f>+Z51-V51</f>
        <v>283</v>
      </c>
      <c r="X51" s="87">
        <v>58</v>
      </c>
      <c r="Y51" s="88">
        <v>12</v>
      </c>
      <c r="Z51" s="115">
        <v>315</v>
      </c>
      <c r="AA51" s="150">
        <v>24</v>
      </c>
      <c r="AB51" s="87">
        <f>+AE51-AA51</f>
        <v>119</v>
      </c>
      <c r="AC51" s="87">
        <v>22</v>
      </c>
      <c r="AD51" s="88">
        <v>12</v>
      </c>
      <c r="AE51" s="168">
        <v>143</v>
      </c>
      <c r="AF51" s="134">
        <v>1</v>
      </c>
      <c r="AG51" s="88">
        <f>+AJ51-AF51</f>
        <v>756</v>
      </c>
      <c r="AH51" s="87">
        <v>97</v>
      </c>
      <c r="AI51" s="87">
        <v>95</v>
      </c>
      <c r="AJ51" s="115">
        <v>757</v>
      </c>
      <c r="AK51" s="130">
        <v>45</v>
      </c>
      <c r="AL51" s="88">
        <f>+AO51-AK51</f>
        <v>317</v>
      </c>
      <c r="AM51" s="87">
        <v>56</v>
      </c>
      <c r="AN51" s="87">
        <v>24</v>
      </c>
      <c r="AO51" s="168">
        <v>362</v>
      </c>
      <c r="AP51" s="152">
        <v>0</v>
      </c>
      <c r="AQ51" s="88">
        <f>+AT51-AP51</f>
        <v>207</v>
      </c>
      <c r="AR51" s="87">
        <v>20</v>
      </c>
      <c r="AS51" s="88">
        <v>20</v>
      </c>
      <c r="AT51" s="115">
        <v>207</v>
      </c>
      <c r="AU51" s="378">
        <v>53</v>
      </c>
      <c r="AV51" s="88">
        <f>+AY51-AU51</f>
        <v>334</v>
      </c>
      <c r="AW51" s="87">
        <v>56</v>
      </c>
      <c r="AX51" s="88">
        <v>43</v>
      </c>
      <c r="AY51" s="168">
        <v>387</v>
      </c>
      <c r="AZ51" s="134">
        <v>50</v>
      </c>
      <c r="BA51" s="88">
        <f>+BD51-AZ51</f>
        <v>341</v>
      </c>
      <c r="BB51" s="87">
        <v>66</v>
      </c>
      <c r="BC51" s="88">
        <v>20</v>
      </c>
      <c r="BD51" s="115">
        <v>391</v>
      </c>
      <c r="BE51" s="150">
        <v>21</v>
      </c>
      <c r="BF51" s="88">
        <f>+BI51-BE51</f>
        <v>167</v>
      </c>
      <c r="BG51" s="87">
        <v>2</v>
      </c>
      <c r="BH51" s="88">
        <v>8</v>
      </c>
      <c r="BI51" s="168">
        <v>188</v>
      </c>
      <c r="BJ51" s="152"/>
      <c r="BK51" s="88"/>
      <c r="BL51" s="87"/>
      <c r="BM51" s="88"/>
      <c r="BN51" s="115"/>
      <c r="BO51" s="150"/>
      <c r="BP51" s="88"/>
      <c r="BQ51" s="88"/>
      <c r="BR51" s="88"/>
      <c r="BS51" s="88"/>
      <c r="BT51" s="168"/>
      <c r="BU51" s="152"/>
      <c r="BV51" s="150"/>
      <c r="BW51" s="150"/>
      <c r="BX51" s="150"/>
      <c r="BY51" s="150"/>
      <c r="BZ51" s="217"/>
      <c r="CA51" s="150"/>
      <c r="CB51" s="150"/>
      <c r="CC51" s="150"/>
      <c r="CD51" s="150"/>
      <c r="CE51" s="150"/>
      <c r="CF51" s="222"/>
      <c r="CG51" s="152"/>
      <c r="CH51" s="150"/>
      <c r="CI51" s="150"/>
      <c r="CJ51" s="150"/>
      <c r="CK51" s="150"/>
      <c r="CL51" s="217"/>
      <c r="CM51" s="150"/>
      <c r="CN51" s="150"/>
      <c r="CO51" s="150"/>
      <c r="CP51" s="150"/>
      <c r="CQ51" s="150"/>
      <c r="CR51" s="222"/>
      <c r="CS51" s="152"/>
      <c r="CT51" s="150"/>
      <c r="CU51" s="150"/>
      <c r="CV51" s="150"/>
      <c r="CW51" s="150"/>
      <c r="CX51" s="217"/>
      <c r="CY51" s="152"/>
      <c r="CZ51" s="150"/>
      <c r="DA51" s="150"/>
      <c r="DB51" s="150"/>
      <c r="DC51" s="150"/>
      <c r="DD51" s="217"/>
      <c r="DE51" s="150"/>
      <c r="DF51" s="150"/>
      <c r="DG51" s="150"/>
      <c r="DH51" s="150"/>
      <c r="DI51" s="150"/>
      <c r="DJ51" s="222"/>
      <c r="DK51" s="152"/>
      <c r="DL51" s="150"/>
      <c r="DM51" s="150"/>
      <c r="DN51" s="150"/>
      <c r="DO51" s="150"/>
      <c r="DP51" s="217"/>
      <c r="DQ51" s="150"/>
      <c r="DR51" s="150"/>
      <c r="DS51" s="150"/>
      <c r="DT51" s="150"/>
      <c r="DU51" s="150"/>
      <c r="DV51" s="222"/>
      <c r="DW51" s="152"/>
      <c r="DX51" s="150"/>
      <c r="DY51" s="150"/>
      <c r="DZ51" s="150"/>
      <c r="EA51" s="150"/>
      <c r="EB51" s="217"/>
      <c r="EC51" s="152"/>
      <c r="ED51" s="150"/>
      <c r="EE51" s="150"/>
      <c r="EF51" s="150"/>
      <c r="EG51" s="150"/>
      <c r="EH51" s="217"/>
      <c r="EI51" s="152"/>
      <c r="EJ51" s="150"/>
      <c r="EK51" s="150"/>
      <c r="EL51" s="150"/>
      <c r="EM51" s="150"/>
      <c r="EN51" s="217"/>
      <c r="EO51" s="152"/>
      <c r="EP51" s="150"/>
      <c r="EQ51" s="150"/>
      <c r="ER51" s="150"/>
      <c r="ES51" s="150"/>
      <c r="ET51" s="217"/>
      <c r="EU51" s="222"/>
      <c r="EV51" s="222"/>
      <c r="EW51" s="222"/>
      <c r="EX51" s="222"/>
      <c r="EY51" s="222"/>
      <c r="EZ51" s="222"/>
      <c r="FA51" s="171">
        <f t="shared" si="53"/>
        <v>226</v>
      </c>
      <c r="FB51" s="101">
        <f t="shared" si="51"/>
        <v>2524</v>
      </c>
      <c r="FC51" s="101"/>
      <c r="FD51" s="87">
        <f t="shared" si="59"/>
        <v>377</v>
      </c>
      <c r="FE51" s="143">
        <f t="shared" si="54"/>
        <v>234</v>
      </c>
      <c r="FF51" s="115">
        <f t="shared" si="60"/>
        <v>2750</v>
      </c>
      <c r="FG51" s="40"/>
      <c r="FI51" s="232"/>
      <c r="FJ51" s="232"/>
      <c r="FK51" s="232"/>
      <c r="FL51" s="232"/>
      <c r="FM51" s="232"/>
      <c r="FN51" s="232"/>
      <c r="FO51" s="232"/>
      <c r="FP51" s="232"/>
    </row>
    <row r="52" spans="1:172" ht="12" customHeight="1" x14ac:dyDescent="0.2">
      <c r="A52" s="43" t="s">
        <v>62</v>
      </c>
      <c r="B52" s="51"/>
      <c r="C52" s="36"/>
      <c r="D52" s="36"/>
      <c r="E52" s="33"/>
      <c r="F52" s="52"/>
      <c r="G52" s="55"/>
      <c r="H52" s="33"/>
      <c r="I52" s="33"/>
      <c r="J52" s="33"/>
      <c r="K52" s="56"/>
      <c r="L52" s="78"/>
      <c r="M52" s="33"/>
      <c r="N52" s="33"/>
      <c r="O52" s="33"/>
      <c r="P52" s="198"/>
      <c r="Q52" s="55"/>
      <c r="R52" s="33"/>
      <c r="S52" s="33"/>
      <c r="T52" s="33"/>
      <c r="U52" s="56"/>
      <c r="V52" s="134">
        <v>90</v>
      </c>
      <c r="W52" s="88">
        <v>254</v>
      </c>
      <c r="X52" s="87">
        <v>49</v>
      </c>
      <c r="Y52" s="88">
        <v>13</v>
      </c>
      <c r="Z52" s="115">
        <f t="shared" si="61"/>
        <v>344</v>
      </c>
      <c r="AA52" s="150">
        <v>45</v>
      </c>
      <c r="AB52" s="87">
        <v>104</v>
      </c>
      <c r="AC52" s="87">
        <v>27</v>
      </c>
      <c r="AD52" s="88">
        <v>12</v>
      </c>
      <c r="AE52" s="168">
        <f t="shared" si="37"/>
        <v>149</v>
      </c>
      <c r="AF52" s="134">
        <v>166</v>
      </c>
      <c r="AG52" s="88">
        <v>657</v>
      </c>
      <c r="AH52" s="87">
        <v>5</v>
      </c>
      <c r="AI52" s="87">
        <v>72</v>
      </c>
      <c r="AJ52" s="115">
        <f t="shared" si="38"/>
        <v>823</v>
      </c>
      <c r="AK52" s="130">
        <v>80</v>
      </c>
      <c r="AL52" s="88">
        <v>304</v>
      </c>
      <c r="AM52" s="87">
        <v>34</v>
      </c>
      <c r="AN52" s="87">
        <v>14</v>
      </c>
      <c r="AO52" s="168">
        <f t="shared" si="39"/>
        <v>384</v>
      </c>
      <c r="AP52" s="152">
        <v>42</v>
      </c>
      <c r="AQ52" s="88">
        <v>172</v>
      </c>
      <c r="AR52" s="87">
        <v>15</v>
      </c>
      <c r="AS52" s="88">
        <v>11</v>
      </c>
      <c r="AT52" s="115">
        <f t="shared" si="55"/>
        <v>214</v>
      </c>
      <c r="AU52" s="378">
        <v>138</v>
      </c>
      <c r="AV52" s="88">
        <v>340</v>
      </c>
      <c r="AW52" s="87">
        <v>4</v>
      </c>
      <c r="AX52" s="88">
        <v>39</v>
      </c>
      <c r="AY52" s="168">
        <f t="shared" si="56"/>
        <v>478</v>
      </c>
      <c r="AZ52" s="134">
        <v>124</v>
      </c>
      <c r="BA52" s="88">
        <v>295</v>
      </c>
      <c r="BB52" s="87">
        <v>76</v>
      </c>
      <c r="BC52" s="88">
        <v>14</v>
      </c>
      <c r="BD52" s="115">
        <f t="shared" si="57"/>
        <v>419</v>
      </c>
      <c r="BE52" s="150">
        <v>44</v>
      </c>
      <c r="BF52" s="88">
        <v>158</v>
      </c>
      <c r="BG52" s="87">
        <v>22</v>
      </c>
      <c r="BH52" s="88">
        <v>14</v>
      </c>
      <c r="BI52" s="168">
        <f>SUM(BE52+BF52)</f>
        <v>202</v>
      </c>
      <c r="BJ52" s="152"/>
      <c r="BK52" s="88"/>
      <c r="BL52" s="87"/>
      <c r="BM52" s="88"/>
      <c r="BN52" s="115"/>
      <c r="BO52" s="150"/>
      <c r="BP52" s="88"/>
      <c r="BQ52" s="88"/>
      <c r="BR52" s="88"/>
      <c r="BS52" s="88"/>
      <c r="BT52" s="168"/>
      <c r="BU52" s="152"/>
      <c r="BV52" s="150"/>
      <c r="BW52" s="150"/>
      <c r="BX52" s="150"/>
      <c r="BY52" s="150"/>
      <c r="BZ52" s="217"/>
      <c r="CA52" s="150"/>
      <c r="CB52" s="150"/>
      <c r="CC52" s="150"/>
      <c r="CD52" s="150"/>
      <c r="CE52" s="150"/>
      <c r="CF52" s="222"/>
      <c r="CG52" s="152"/>
      <c r="CH52" s="150"/>
      <c r="CI52" s="150"/>
      <c r="CJ52" s="150"/>
      <c r="CK52" s="150"/>
      <c r="CL52" s="217"/>
      <c r="CM52" s="150"/>
      <c r="CN52" s="150"/>
      <c r="CO52" s="150"/>
      <c r="CP52" s="150"/>
      <c r="CQ52" s="150"/>
      <c r="CR52" s="222"/>
      <c r="CS52" s="152"/>
      <c r="CT52" s="150"/>
      <c r="CU52" s="150"/>
      <c r="CV52" s="150"/>
      <c r="CW52" s="150"/>
      <c r="CX52" s="217"/>
      <c r="CY52" s="152"/>
      <c r="CZ52" s="150"/>
      <c r="DA52" s="150"/>
      <c r="DB52" s="150"/>
      <c r="DC52" s="150"/>
      <c r="DD52" s="217"/>
      <c r="DE52" s="150"/>
      <c r="DF52" s="150"/>
      <c r="DG52" s="150"/>
      <c r="DH52" s="150"/>
      <c r="DI52" s="150"/>
      <c r="DJ52" s="222"/>
      <c r="DK52" s="152"/>
      <c r="DL52" s="150"/>
      <c r="DM52" s="150"/>
      <c r="DN52" s="150"/>
      <c r="DO52" s="150"/>
      <c r="DP52" s="217"/>
      <c r="DQ52" s="150"/>
      <c r="DR52" s="150"/>
      <c r="DS52" s="150"/>
      <c r="DT52" s="150"/>
      <c r="DU52" s="150"/>
      <c r="DV52" s="222"/>
      <c r="DW52" s="152"/>
      <c r="DX52" s="150"/>
      <c r="DY52" s="150"/>
      <c r="DZ52" s="150"/>
      <c r="EA52" s="150"/>
      <c r="EB52" s="217"/>
      <c r="EC52" s="152"/>
      <c r="ED52" s="150"/>
      <c r="EE52" s="150"/>
      <c r="EF52" s="150"/>
      <c r="EG52" s="150"/>
      <c r="EH52" s="217"/>
      <c r="EI52" s="152"/>
      <c r="EJ52" s="150"/>
      <c r="EK52" s="150"/>
      <c r="EL52" s="150"/>
      <c r="EM52" s="150"/>
      <c r="EN52" s="217"/>
      <c r="EO52" s="152"/>
      <c r="EP52" s="150"/>
      <c r="EQ52" s="150"/>
      <c r="ER52" s="150"/>
      <c r="ES52" s="150"/>
      <c r="ET52" s="217"/>
      <c r="EU52" s="222"/>
      <c r="EV52" s="222"/>
      <c r="EW52" s="222"/>
      <c r="EX52" s="222"/>
      <c r="EY52" s="222"/>
      <c r="EZ52" s="222"/>
      <c r="FA52" s="171">
        <f t="shared" si="53"/>
        <v>729</v>
      </c>
      <c r="FB52" s="101">
        <f t="shared" si="51"/>
        <v>2284</v>
      </c>
      <c r="FC52" s="101"/>
      <c r="FD52" s="87">
        <f t="shared" si="59"/>
        <v>232</v>
      </c>
      <c r="FE52" s="143">
        <f t="shared" si="54"/>
        <v>189</v>
      </c>
      <c r="FF52" s="115">
        <f t="shared" si="60"/>
        <v>3013</v>
      </c>
      <c r="FG52" s="40"/>
      <c r="FI52" s="232"/>
      <c r="FJ52" s="232"/>
      <c r="FK52" s="232"/>
      <c r="FL52" s="232"/>
      <c r="FM52" s="232"/>
      <c r="FN52" s="232"/>
      <c r="FO52" s="232"/>
      <c r="FP52" s="232"/>
    </row>
    <row r="53" spans="1:172" ht="12" customHeight="1" x14ac:dyDescent="0.2">
      <c r="A53" s="66" t="s">
        <v>63</v>
      </c>
      <c r="B53" s="51"/>
      <c r="C53" s="36"/>
      <c r="D53" s="36"/>
      <c r="E53" s="33"/>
      <c r="F53" s="52"/>
      <c r="G53" s="55"/>
      <c r="H53" s="33"/>
      <c r="I53" s="33"/>
      <c r="J53" s="33"/>
      <c r="K53" s="56"/>
      <c r="L53" s="78"/>
      <c r="M53" s="33"/>
      <c r="N53" s="33"/>
      <c r="O53" s="33"/>
      <c r="P53" s="198"/>
      <c r="Q53" s="55"/>
      <c r="R53" s="33"/>
      <c r="S53" s="33"/>
      <c r="T53" s="33"/>
      <c r="U53" s="56"/>
      <c r="V53" s="134">
        <v>5</v>
      </c>
      <c r="W53" s="88">
        <v>272</v>
      </c>
      <c r="X53" s="87">
        <v>59</v>
      </c>
      <c r="Y53" s="88">
        <v>19</v>
      </c>
      <c r="Z53" s="115">
        <f t="shared" si="61"/>
        <v>277</v>
      </c>
      <c r="AA53" s="150">
        <v>0</v>
      </c>
      <c r="AB53" s="87">
        <v>111</v>
      </c>
      <c r="AC53" s="87">
        <v>26</v>
      </c>
      <c r="AD53" s="88">
        <v>10</v>
      </c>
      <c r="AE53" s="168">
        <f t="shared" si="37"/>
        <v>111</v>
      </c>
      <c r="AF53" s="134">
        <v>19</v>
      </c>
      <c r="AG53" s="88">
        <v>655</v>
      </c>
      <c r="AH53" s="87">
        <v>96</v>
      </c>
      <c r="AI53" s="87">
        <v>51</v>
      </c>
      <c r="AJ53" s="115">
        <f t="shared" si="38"/>
        <v>674</v>
      </c>
      <c r="AK53" s="130">
        <v>24</v>
      </c>
      <c r="AL53" s="88">
        <v>318</v>
      </c>
      <c r="AM53" s="87">
        <v>52</v>
      </c>
      <c r="AN53" s="87">
        <v>35</v>
      </c>
      <c r="AO53" s="168">
        <f t="shared" si="39"/>
        <v>342</v>
      </c>
      <c r="AP53" s="152">
        <v>0</v>
      </c>
      <c r="AQ53" s="88">
        <v>179</v>
      </c>
      <c r="AR53" s="87">
        <v>24</v>
      </c>
      <c r="AS53" s="88">
        <v>14</v>
      </c>
      <c r="AT53" s="115">
        <f t="shared" si="55"/>
        <v>179</v>
      </c>
      <c r="AU53" s="378">
        <v>12</v>
      </c>
      <c r="AV53" s="88">
        <v>346</v>
      </c>
      <c r="AW53" s="87">
        <v>93</v>
      </c>
      <c r="AX53" s="88">
        <v>16</v>
      </c>
      <c r="AY53" s="168">
        <f t="shared" si="56"/>
        <v>358</v>
      </c>
      <c r="AZ53" s="134">
        <v>38</v>
      </c>
      <c r="BA53" s="88">
        <v>342</v>
      </c>
      <c r="BB53" s="87">
        <v>63</v>
      </c>
      <c r="BC53" s="88">
        <v>23</v>
      </c>
      <c r="BD53" s="115">
        <f t="shared" si="57"/>
        <v>380</v>
      </c>
      <c r="BE53" s="150">
        <v>10</v>
      </c>
      <c r="BF53" s="88">
        <v>171</v>
      </c>
      <c r="BG53" s="87">
        <v>17</v>
      </c>
      <c r="BH53" s="88">
        <v>20</v>
      </c>
      <c r="BI53" s="168">
        <f t="shared" si="58"/>
        <v>181</v>
      </c>
      <c r="BJ53" s="152"/>
      <c r="BK53" s="88"/>
      <c r="BL53" s="87"/>
      <c r="BM53" s="88"/>
      <c r="BN53" s="115"/>
      <c r="BO53" s="150"/>
      <c r="BP53" s="88"/>
      <c r="BQ53" s="88"/>
      <c r="BR53" s="88"/>
      <c r="BS53" s="88"/>
      <c r="BT53" s="168"/>
      <c r="BU53" s="152"/>
      <c r="BV53" s="150"/>
      <c r="BW53" s="150"/>
      <c r="BX53" s="150"/>
      <c r="BY53" s="150"/>
      <c r="BZ53" s="217"/>
      <c r="CA53" s="150"/>
      <c r="CB53" s="150"/>
      <c r="CC53" s="150"/>
      <c r="CD53" s="150"/>
      <c r="CE53" s="150"/>
      <c r="CF53" s="222"/>
      <c r="CG53" s="152"/>
      <c r="CH53" s="150"/>
      <c r="CI53" s="150"/>
      <c r="CJ53" s="150"/>
      <c r="CK53" s="150"/>
      <c r="CL53" s="217"/>
      <c r="CM53" s="150"/>
      <c r="CN53" s="150"/>
      <c r="CO53" s="150"/>
      <c r="CP53" s="150"/>
      <c r="CQ53" s="150"/>
      <c r="CR53" s="222"/>
      <c r="CS53" s="152"/>
      <c r="CT53" s="150"/>
      <c r="CU53" s="150"/>
      <c r="CV53" s="150"/>
      <c r="CW53" s="150"/>
      <c r="CX53" s="217"/>
      <c r="CY53" s="152"/>
      <c r="CZ53" s="150"/>
      <c r="DA53" s="150"/>
      <c r="DB53" s="150"/>
      <c r="DC53" s="150"/>
      <c r="DD53" s="217"/>
      <c r="DE53" s="150"/>
      <c r="DF53" s="150"/>
      <c r="DG53" s="150"/>
      <c r="DH53" s="150"/>
      <c r="DI53" s="150"/>
      <c r="DJ53" s="222"/>
      <c r="DK53" s="152"/>
      <c r="DL53" s="150"/>
      <c r="DM53" s="150"/>
      <c r="DN53" s="150"/>
      <c r="DO53" s="150"/>
      <c r="DP53" s="217"/>
      <c r="DQ53" s="150"/>
      <c r="DR53" s="150"/>
      <c r="DS53" s="150"/>
      <c r="DT53" s="150"/>
      <c r="DU53" s="150"/>
      <c r="DV53" s="222"/>
      <c r="DW53" s="152"/>
      <c r="DX53" s="150"/>
      <c r="DY53" s="150"/>
      <c r="DZ53" s="150"/>
      <c r="EA53" s="150"/>
      <c r="EB53" s="217"/>
      <c r="EC53" s="152"/>
      <c r="ED53" s="150"/>
      <c r="EE53" s="150"/>
      <c r="EF53" s="150"/>
      <c r="EG53" s="150"/>
      <c r="EH53" s="217"/>
      <c r="EI53" s="152"/>
      <c r="EJ53" s="150"/>
      <c r="EK53" s="150"/>
      <c r="EL53" s="150"/>
      <c r="EM53" s="150"/>
      <c r="EN53" s="217"/>
      <c r="EO53" s="152"/>
      <c r="EP53" s="150"/>
      <c r="EQ53" s="150"/>
      <c r="ER53" s="150"/>
      <c r="ES53" s="150"/>
      <c r="ET53" s="217"/>
      <c r="EU53" s="222"/>
      <c r="EV53" s="222"/>
      <c r="EW53" s="222"/>
      <c r="EX53" s="222"/>
      <c r="EY53" s="222"/>
      <c r="EZ53" s="222"/>
      <c r="FA53" s="171">
        <f t="shared" si="53"/>
        <v>108</v>
      </c>
      <c r="FB53" s="100">
        <f t="shared" si="51"/>
        <v>2394</v>
      </c>
      <c r="FC53" s="100"/>
      <c r="FD53" s="144">
        <f t="shared" si="59"/>
        <v>430</v>
      </c>
      <c r="FE53" s="141">
        <f t="shared" si="54"/>
        <v>188</v>
      </c>
      <c r="FF53" s="115">
        <f t="shared" si="60"/>
        <v>2502</v>
      </c>
      <c r="FG53" s="238"/>
      <c r="FI53" s="232"/>
      <c r="FJ53" s="232"/>
      <c r="FK53" s="232"/>
      <c r="FL53" s="232"/>
      <c r="FM53" s="232"/>
      <c r="FN53" s="232"/>
      <c r="FO53" s="232"/>
      <c r="FP53" s="232"/>
    </row>
    <row r="54" spans="1:172" ht="12" customHeight="1" x14ac:dyDescent="0.2">
      <c r="A54" s="43" t="s">
        <v>64</v>
      </c>
      <c r="B54" s="51"/>
      <c r="C54" s="36"/>
      <c r="D54" s="36"/>
      <c r="E54" s="33"/>
      <c r="F54" s="52"/>
      <c r="G54" s="55"/>
      <c r="H54" s="33"/>
      <c r="I54" s="33"/>
      <c r="J54" s="33"/>
      <c r="K54" s="56"/>
      <c r="L54" s="78"/>
      <c r="M54" s="33"/>
      <c r="N54" s="33"/>
      <c r="O54" s="33"/>
      <c r="P54" s="198"/>
      <c r="Q54" s="55"/>
      <c r="R54" s="33"/>
      <c r="S54" s="33"/>
      <c r="T54" s="33"/>
      <c r="U54" s="56"/>
      <c r="V54" s="134">
        <v>83</v>
      </c>
      <c r="W54" s="88">
        <v>246</v>
      </c>
      <c r="X54" s="87">
        <v>12</v>
      </c>
      <c r="Y54" s="88">
        <v>18</v>
      </c>
      <c r="Z54" s="115">
        <v>329</v>
      </c>
      <c r="AA54" s="150">
        <v>42</v>
      </c>
      <c r="AB54" s="87">
        <v>97</v>
      </c>
      <c r="AC54" s="87">
        <v>4</v>
      </c>
      <c r="AD54" s="88">
        <v>3</v>
      </c>
      <c r="AE54" s="168">
        <v>139</v>
      </c>
      <c r="AF54" s="134">
        <v>94</v>
      </c>
      <c r="AG54" s="88">
        <v>618</v>
      </c>
      <c r="AH54" s="87">
        <v>5</v>
      </c>
      <c r="AI54" s="87">
        <v>89</v>
      </c>
      <c r="AJ54" s="115">
        <v>712</v>
      </c>
      <c r="AK54" s="130">
        <v>53</v>
      </c>
      <c r="AL54" s="88">
        <v>295</v>
      </c>
      <c r="AM54" s="87">
        <v>12</v>
      </c>
      <c r="AN54" s="87">
        <v>36</v>
      </c>
      <c r="AO54" s="168">
        <f t="shared" si="39"/>
        <v>348</v>
      </c>
      <c r="AP54" s="152">
        <v>49</v>
      </c>
      <c r="AQ54" s="88">
        <v>160</v>
      </c>
      <c r="AR54" s="87">
        <v>5</v>
      </c>
      <c r="AS54" s="88">
        <v>14</v>
      </c>
      <c r="AT54" s="115">
        <f t="shared" si="55"/>
        <v>209</v>
      </c>
      <c r="AU54" s="378">
        <v>86</v>
      </c>
      <c r="AV54" s="88">
        <v>325</v>
      </c>
      <c r="AW54" s="87">
        <v>17</v>
      </c>
      <c r="AX54" s="88">
        <v>42</v>
      </c>
      <c r="AY54" s="168">
        <f t="shared" si="56"/>
        <v>411</v>
      </c>
      <c r="AZ54" s="134">
        <v>100</v>
      </c>
      <c r="BA54" s="88">
        <v>308</v>
      </c>
      <c r="BB54" s="87">
        <v>49</v>
      </c>
      <c r="BC54" s="88">
        <v>21</v>
      </c>
      <c r="BD54" s="115">
        <f t="shared" si="57"/>
        <v>408</v>
      </c>
      <c r="BE54" s="150">
        <v>84</v>
      </c>
      <c r="BF54" s="88">
        <v>147</v>
      </c>
      <c r="BG54" s="87">
        <v>14</v>
      </c>
      <c r="BH54" s="88">
        <v>25</v>
      </c>
      <c r="BI54" s="168">
        <f t="shared" si="58"/>
        <v>231</v>
      </c>
      <c r="BJ54" s="152">
        <v>92</v>
      </c>
      <c r="BK54" s="88">
        <v>0</v>
      </c>
      <c r="BL54" s="87">
        <v>0</v>
      </c>
      <c r="BM54" s="88">
        <v>0</v>
      </c>
      <c r="BN54" s="115">
        <f t="shared" ref="BN54:BN61" si="62">SUM(BJ54+BK54)</f>
        <v>92</v>
      </c>
      <c r="BO54" s="150"/>
      <c r="BP54" s="88"/>
      <c r="BQ54" s="88"/>
      <c r="BR54" s="88"/>
      <c r="BS54" s="88"/>
      <c r="BT54" s="168"/>
      <c r="BU54" s="152"/>
      <c r="BV54" s="150"/>
      <c r="BW54" s="150"/>
      <c r="BX54" s="150"/>
      <c r="BY54" s="150"/>
      <c r="BZ54" s="217"/>
      <c r="CA54" s="150"/>
      <c r="CB54" s="150"/>
      <c r="CC54" s="150"/>
      <c r="CD54" s="150"/>
      <c r="CE54" s="150"/>
      <c r="CF54" s="222"/>
      <c r="CG54" s="152"/>
      <c r="CH54" s="150"/>
      <c r="CI54" s="150"/>
      <c r="CJ54" s="150"/>
      <c r="CK54" s="150"/>
      <c r="CL54" s="217"/>
      <c r="CM54" s="150"/>
      <c r="CN54" s="150"/>
      <c r="CO54" s="150"/>
      <c r="CP54" s="150"/>
      <c r="CQ54" s="150"/>
      <c r="CR54" s="222"/>
      <c r="CS54" s="152"/>
      <c r="CT54" s="150"/>
      <c r="CU54" s="150"/>
      <c r="CV54" s="150"/>
      <c r="CW54" s="150"/>
      <c r="CX54" s="217"/>
      <c r="CY54" s="152"/>
      <c r="CZ54" s="150"/>
      <c r="DA54" s="150"/>
      <c r="DB54" s="150"/>
      <c r="DC54" s="150"/>
      <c r="DD54" s="217"/>
      <c r="DE54" s="150"/>
      <c r="DF54" s="150"/>
      <c r="DG54" s="150"/>
      <c r="DH54" s="150"/>
      <c r="DI54" s="150"/>
      <c r="DJ54" s="222"/>
      <c r="DK54" s="152"/>
      <c r="DL54" s="150"/>
      <c r="DM54" s="150"/>
      <c r="DN54" s="150"/>
      <c r="DO54" s="150"/>
      <c r="DP54" s="217"/>
      <c r="DQ54" s="150"/>
      <c r="DR54" s="150"/>
      <c r="DS54" s="150"/>
      <c r="DT54" s="150"/>
      <c r="DU54" s="150"/>
      <c r="DV54" s="222"/>
      <c r="DW54" s="152"/>
      <c r="DX54" s="150"/>
      <c r="DY54" s="150"/>
      <c r="DZ54" s="150"/>
      <c r="EA54" s="150"/>
      <c r="EB54" s="217"/>
      <c r="EC54" s="152"/>
      <c r="ED54" s="150"/>
      <c r="EE54" s="150"/>
      <c r="EF54" s="150"/>
      <c r="EG54" s="150"/>
      <c r="EH54" s="217"/>
      <c r="EI54" s="152"/>
      <c r="EJ54" s="150"/>
      <c r="EK54" s="150"/>
      <c r="EL54" s="150"/>
      <c r="EM54" s="150"/>
      <c r="EN54" s="217"/>
      <c r="EO54" s="152"/>
      <c r="EP54" s="150"/>
      <c r="EQ54" s="150"/>
      <c r="ER54" s="150"/>
      <c r="ES54" s="150"/>
      <c r="ET54" s="217"/>
      <c r="EU54" s="222"/>
      <c r="EV54" s="222"/>
      <c r="EW54" s="222"/>
      <c r="EX54" s="222"/>
      <c r="EY54" s="222"/>
      <c r="EZ54" s="222"/>
      <c r="FA54" s="171">
        <f t="shared" si="53"/>
        <v>683</v>
      </c>
      <c r="FB54" s="100">
        <f t="shared" si="51"/>
        <v>2196</v>
      </c>
      <c r="FC54" s="100"/>
      <c r="FD54" s="144">
        <f t="shared" si="59"/>
        <v>118</v>
      </c>
      <c r="FE54" s="141">
        <f t="shared" si="54"/>
        <v>248</v>
      </c>
      <c r="FF54" s="115">
        <f t="shared" si="60"/>
        <v>2879</v>
      </c>
      <c r="FG54" s="238"/>
      <c r="FI54" s="232"/>
      <c r="FJ54" s="232"/>
      <c r="FK54" s="232"/>
      <c r="FL54" s="232"/>
      <c r="FM54" s="232"/>
      <c r="FN54" s="232"/>
      <c r="FO54" s="232"/>
      <c r="FP54" s="232"/>
    </row>
    <row r="55" spans="1:172" ht="12" customHeight="1" x14ac:dyDescent="0.2">
      <c r="A55" s="66" t="s">
        <v>65</v>
      </c>
      <c r="B55" s="51"/>
      <c r="C55" s="36"/>
      <c r="D55" s="36"/>
      <c r="E55" s="33"/>
      <c r="F55" s="52"/>
      <c r="G55" s="55"/>
      <c r="H55" s="33"/>
      <c r="I55" s="33"/>
      <c r="J55" s="33"/>
      <c r="K55" s="56"/>
      <c r="L55" s="78"/>
      <c r="M55" s="33"/>
      <c r="N55" s="33"/>
      <c r="O55" s="33"/>
      <c r="P55" s="198"/>
      <c r="Q55" s="55"/>
      <c r="R55" s="33"/>
      <c r="S55" s="33"/>
      <c r="T55" s="33"/>
      <c r="U55" s="56"/>
      <c r="V55" s="134">
        <v>0</v>
      </c>
      <c r="W55" s="88">
        <v>260</v>
      </c>
      <c r="X55" s="87">
        <v>51</v>
      </c>
      <c r="Y55" s="88">
        <v>21</v>
      </c>
      <c r="Z55" s="115">
        <f t="shared" si="61"/>
        <v>260</v>
      </c>
      <c r="AA55" s="150">
        <v>0</v>
      </c>
      <c r="AB55" s="87">
        <v>122</v>
      </c>
      <c r="AC55" s="87">
        <v>14</v>
      </c>
      <c r="AD55" s="88">
        <v>7</v>
      </c>
      <c r="AE55" s="168">
        <f t="shared" si="37"/>
        <v>122</v>
      </c>
      <c r="AF55" s="134">
        <v>0</v>
      </c>
      <c r="AG55" s="88">
        <v>583</v>
      </c>
      <c r="AH55" s="87">
        <v>40</v>
      </c>
      <c r="AI55" s="87">
        <v>59</v>
      </c>
      <c r="AJ55" s="115">
        <f t="shared" si="38"/>
        <v>583</v>
      </c>
      <c r="AK55" s="130">
        <v>0</v>
      </c>
      <c r="AL55" s="88">
        <v>283</v>
      </c>
      <c r="AM55" s="87">
        <v>29</v>
      </c>
      <c r="AN55" s="87">
        <v>19</v>
      </c>
      <c r="AO55" s="168">
        <f t="shared" si="39"/>
        <v>283</v>
      </c>
      <c r="AP55" s="152">
        <v>0</v>
      </c>
      <c r="AQ55" s="88">
        <v>166</v>
      </c>
      <c r="AR55" s="87">
        <v>29</v>
      </c>
      <c r="AS55" s="88">
        <v>13</v>
      </c>
      <c r="AT55" s="115">
        <f t="shared" si="55"/>
        <v>166</v>
      </c>
      <c r="AU55" s="378">
        <v>0</v>
      </c>
      <c r="AV55" s="88">
        <v>329</v>
      </c>
      <c r="AW55" s="87">
        <v>40</v>
      </c>
      <c r="AX55" s="88">
        <v>25</v>
      </c>
      <c r="AY55" s="168">
        <f t="shared" si="56"/>
        <v>329</v>
      </c>
      <c r="AZ55" s="134">
        <v>0</v>
      </c>
      <c r="BA55" s="88">
        <v>303</v>
      </c>
      <c r="BB55" s="87">
        <v>84</v>
      </c>
      <c r="BC55" s="88">
        <v>20</v>
      </c>
      <c r="BD55" s="115">
        <f t="shared" si="57"/>
        <v>303</v>
      </c>
      <c r="BE55" s="150">
        <v>0</v>
      </c>
      <c r="BF55" s="88">
        <v>189</v>
      </c>
      <c r="BG55" s="87">
        <v>17</v>
      </c>
      <c r="BH55" s="88">
        <v>10</v>
      </c>
      <c r="BI55" s="168">
        <f t="shared" si="58"/>
        <v>189</v>
      </c>
      <c r="BJ55" s="152">
        <v>0</v>
      </c>
      <c r="BK55" s="88">
        <v>84</v>
      </c>
      <c r="BL55" s="87">
        <f>BN54-BK55</f>
        <v>8</v>
      </c>
      <c r="BM55" s="88">
        <v>0</v>
      </c>
      <c r="BN55" s="115">
        <f t="shared" si="62"/>
        <v>84</v>
      </c>
      <c r="BO55" s="150"/>
      <c r="BP55" s="88"/>
      <c r="BQ55" s="88"/>
      <c r="BR55" s="88"/>
      <c r="BS55" s="88"/>
      <c r="BT55" s="168"/>
      <c r="BU55" s="152"/>
      <c r="BV55" s="150"/>
      <c r="BW55" s="150"/>
      <c r="BX55" s="150"/>
      <c r="BY55" s="150"/>
      <c r="BZ55" s="217"/>
      <c r="CA55" s="150"/>
      <c r="CB55" s="150"/>
      <c r="CC55" s="150"/>
      <c r="CD55" s="150"/>
      <c r="CE55" s="150"/>
      <c r="CF55" s="222"/>
      <c r="CG55" s="152"/>
      <c r="CH55" s="150"/>
      <c r="CI55" s="150"/>
      <c r="CJ55" s="150"/>
      <c r="CK55" s="150"/>
      <c r="CL55" s="217"/>
      <c r="CM55" s="150"/>
      <c r="CN55" s="150"/>
      <c r="CO55" s="150"/>
      <c r="CP55" s="150"/>
      <c r="CQ55" s="150"/>
      <c r="CR55" s="222"/>
      <c r="CS55" s="152"/>
      <c r="CT55" s="150"/>
      <c r="CU55" s="150"/>
      <c r="CV55" s="150"/>
      <c r="CW55" s="150"/>
      <c r="CX55" s="217"/>
      <c r="CY55" s="152"/>
      <c r="CZ55" s="150"/>
      <c r="DA55" s="150"/>
      <c r="DB55" s="150"/>
      <c r="DC55" s="150"/>
      <c r="DD55" s="217"/>
      <c r="DE55" s="150"/>
      <c r="DF55" s="150"/>
      <c r="DG55" s="150"/>
      <c r="DH55" s="150"/>
      <c r="DI55" s="150"/>
      <c r="DJ55" s="222"/>
      <c r="DK55" s="152"/>
      <c r="DL55" s="150"/>
      <c r="DM55" s="150"/>
      <c r="DN55" s="150"/>
      <c r="DO55" s="150"/>
      <c r="DP55" s="217"/>
      <c r="DQ55" s="150"/>
      <c r="DR55" s="150"/>
      <c r="DS55" s="150"/>
      <c r="DT55" s="150"/>
      <c r="DU55" s="150"/>
      <c r="DV55" s="222"/>
      <c r="DW55" s="152"/>
      <c r="DX55" s="150"/>
      <c r="DY55" s="150"/>
      <c r="DZ55" s="150"/>
      <c r="EA55" s="150"/>
      <c r="EB55" s="217"/>
      <c r="EC55" s="152"/>
      <c r="ED55" s="150"/>
      <c r="EE55" s="150"/>
      <c r="EF55" s="150"/>
      <c r="EG55" s="150"/>
      <c r="EH55" s="217"/>
      <c r="EI55" s="152"/>
      <c r="EJ55" s="150"/>
      <c r="EK55" s="150"/>
      <c r="EL55" s="150"/>
      <c r="EM55" s="150"/>
      <c r="EN55" s="217"/>
      <c r="EO55" s="152"/>
      <c r="EP55" s="150"/>
      <c r="EQ55" s="150"/>
      <c r="ER55" s="150"/>
      <c r="ES55" s="150"/>
      <c r="ET55" s="217"/>
      <c r="EU55" s="222"/>
      <c r="EV55" s="222"/>
      <c r="EW55" s="222"/>
      <c r="EX55" s="222"/>
      <c r="EY55" s="222"/>
      <c r="EZ55" s="222"/>
      <c r="FA55" s="171">
        <f t="shared" si="53"/>
        <v>0</v>
      </c>
      <c r="FB55" s="101">
        <f t="shared" si="51"/>
        <v>2319</v>
      </c>
      <c r="FC55" s="101"/>
      <c r="FD55" s="87">
        <f t="shared" si="59"/>
        <v>312</v>
      </c>
      <c r="FE55" s="143">
        <f t="shared" si="54"/>
        <v>174</v>
      </c>
      <c r="FF55" s="115">
        <f t="shared" si="60"/>
        <v>2319</v>
      </c>
      <c r="FG55" s="238"/>
      <c r="FI55" s="232"/>
      <c r="FJ55" s="232"/>
      <c r="FK55" s="232"/>
      <c r="FL55" s="232"/>
      <c r="FM55" s="232"/>
      <c r="FN55" s="232"/>
      <c r="FO55" s="232"/>
      <c r="FP55" s="232"/>
    </row>
    <row r="56" spans="1:172" ht="12" customHeight="1" x14ac:dyDescent="0.2">
      <c r="A56" s="43" t="s">
        <v>66</v>
      </c>
      <c r="B56" s="51"/>
      <c r="C56" s="36"/>
      <c r="D56" s="36"/>
      <c r="E56" s="33"/>
      <c r="F56" s="52"/>
      <c r="G56" s="55"/>
      <c r="H56" s="33"/>
      <c r="I56" s="33"/>
      <c r="J56" s="33"/>
      <c r="K56" s="56"/>
      <c r="L56" s="78"/>
      <c r="M56" s="33"/>
      <c r="N56" s="33"/>
      <c r="O56" s="33"/>
      <c r="P56" s="198"/>
      <c r="Q56" s="55"/>
      <c r="R56" s="33"/>
      <c r="S56" s="33"/>
      <c r="T56" s="33"/>
      <c r="U56" s="56"/>
      <c r="V56" s="134">
        <v>67</v>
      </c>
      <c r="W56" s="88">
        <v>219</v>
      </c>
      <c r="X56" s="106">
        <v>20</v>
      </c>
      <c r="Y56" s="88">
        <v>37</v>
      </c>
      <c r="Z56" s="115">
        <f t="shared" si="61"/>
        <v>286</v>
      </c>
      <c r="AA56" s="150">
        <v>42</v>
      </c>
      <c r="AB56" s="87">
        <v>108</v>
      </c>
      <c r="AC56" s="87">
        <v>7</v>
      </c>
      <c r="AD56" s="88">
        <v>5</v>
      </c>
      <c r="AE56" s="168">
        <f t="shared" si="37"/>
        <v>150</v>
      </c>
      <c r="AF56" s="134">
        <v>179</v>
      </c>
      <c r="AG56" s="88">
        <v>472</v>
      </c>
      <c r="AH56" s="106">
        <v>52</v>
      </c>
      <c r="AI56" s="87">
        <v>94</v>
      </c>
      <c r="AJ56" s="115">
        <f t="shared" si="38"/>
        <v>651</v>
      </c>
      <c r="AK56" s="130">
        <v>50</v>
      </c>
      <c r="AL56" s="88">
        <v>251</v>
      </c>
      <c r="AM56" s="106">
        <v>13</v>
      </c>
      <c r="AN56" s="87">
        <v>30</v>
      </c>
      <c r="AO56" s="168">
        <f t="shared" si="39"/>
        <v>301</v>
      </c>
      <c r="AP56" s="152">
        <v>45</v>
      </c>
      <c r="AQ56" s="88">
        <v>136</v>
      </c>
      <c r="AR56" s="106">
        <v>17</v>
      </c>
      <c r="AS56" s="88">
        <v>15</v>
      </c>
      <c r="AT56" s="115">
        <f t="shared" si="55"/>
        <v>181</v>
      </c>
      <c r="AU56" s="378">
        <v>86</v>
      </c>
      <c r="AV56" s="88">
        <v>283</v>
      </c>
      <c r="AW56" s="106">
        <v>21</v>
      </c>
      <c r="AX56" s="88">
        <v>48</v>
      </c>
      <c r="AY56" s="168">
        <f t="shared" si="56"/>
        <v>369</v>
      </c>
      <c r="AZ56" s="134">
        <v>131</v>
      </c>
      <c r="BA56" s="88">
        <v>248</v>
      </c>
      <c r="BB56" s="87">
        <v>35</v>
      </c>
      <c r="BC56" s="88">
        <v>34</v>
      </c>
      <c r="BD56" s="115">
        <f t="shared" si="57"/>
        <v>379</v>
      </c>
      <c r="BE56" s="150">
        <v>68</v>
      </c>
      <c r="BF56" s="88">
        <v>162</v>
      </c>
      <c r="BG56" s="87">
        <v>17</v>
      </c>
      <c r="BH56" s="88">
        <v>19</v>
      </c>
      <c r="BI56" s="168">
        <f t="shared" si="58"/>
        <v>230</v>
      </c>
      <c r="BJ56" s="152">
        <v>213</v>
      </c>
      <c r="BK56" s="88">
        <v>79</v>
      </c>
      <c r="BL56" s="87">
        <v>5</v>
      </c>
      <c r="BM56" s="88">
        <v>0</v>
      </c>
      <c r="BN56" s="115">
        <f t="shared" si="62"/>
        <v>292</v>
      </c>
      <c r="BO56" s="150"/>
      <c r="BP56" s="88"/>
      <c r="BQ56" s="88"/>
      <c r="BR56" s="88"/>
      <c r="BS56" s="88"/>
      <c r="BT56" s="168"/>
      <c r="BU56" s="152"/>
      <c r="BV56" s="150"/>
      <c r="BW56" s="150"/>
      <c r="BX56" s="150"/>
      <c r="BY56" s="150"/>
      <c r="BZ56" s="217"/>
      <c r="CA56" s="150"/>
      <c r="CB56" s="150"/>
      <c r="CC56" s="150"/>
      <c r="CD56" s="150"/>
      <c r="CE56" s="150"/>
      <c r="CF56" s="222"/>
      <c r="CG56" s="152"/>
      <c r="CH56" s="150"/>
      <c r="CI56" s="150"/>
      <c r="CJ56" s="150"/>
      <c r="CK56" s="150"/>
      <c r="CL56" s="217"/>
      <c r="CM56" s="150"/>
      <c r="CN56" s="150"/>
      <c r="CO56" s="150"/>
      <c r="CP56" s="150"/>
      <c r="CQ56" s="150"/>
      <c r="CR56" s="222"/>
      <c r="CS56" s="152"/>
      <c r="CT56" s="150"/>
      <c r="CU56" s="150"/>
      <c r="CV56" s="150"/>
      <c r="CW56" s="150"/>
      <c r="CX56" s="217"/>
      <c r="CY56" s="152"/>
      <c r="CZ56" s="150"/>
      <c r="DA56" s="150"/>
      <c r="DB56" s="150"/>
      <c r="DC56" s="150"/>
      <c r="DD56" s="217"/>
      <c r="DE56" s="150"/>
      <c r="DF56" s="150"/>
      <c r="DG56" s="150"/>
      <c r="DH56" s="150"/>
      <c r="DI56" s="150"/>
      <c r="DJ56" s="222"/>
      <c r="DK56" s="152"/>
      <c r="DL56" s="150"/>
      <c r="DM56" s="150"/>
      <c r="DN56" s="150"/>
      <c r="DO56" s="150"/>
      <c r="DP56" s="217"/>
      <c r="DQ56" s="150"/>
      <c r="DR56" s="150"/>
      <c r="DS56" s="150"/>
      <c r="DT56" s="150"/>
      <c r="DU56" s="150"/>
      <c r="DV56" s="222"/>
      <c r="DW56" s="152"/>
      <c r="DX56" s="150"/>
      <c r="DY56" s="150"/>
      <c r="DZ56" s="150"/>
      <c r="EA56" s="150"/>
      <c r="EB56" s="217"/>
      <c r="EC56" s="152"/>
      <c r="ED56" s="150"/>
      <c r="EE56" s="150"/>
      <c r="EF56" s="150"/>
      <c r="EG56" s="150"/>
      <c r="EH56" s="217"/>
      <c r="EI56" s="152"/>
      <c r="EJ56" s="150"/>
      <c r="EK56" s="150"/>
      <c r="EL56" s="150"/>
      <c r="EM56" s="150"/>
      <c r="EN56" s="217"/>
      <c r="EO56" s="152"/>
      <c r="EP56" s="150"/>
      <c r="EQ56" s="150"/>
      <c r="ER56" s="150"/>
      <c r="ES56" s="150"/>
      <c r="ET56" s="217"/>
      <c r="EU56" s="222"/>
      <c r="EV56" s="222"/>
      <c r="EW56" s="222"/>
      <c r="EX56" s="222"/>
      <c r="EY56" s="222"/>
      <c r="EZ56" s="222"/>
      <c r="FA56" s="171">
        <f t="shared" si="53"/>
        <v>881</v>
      </c>
      <c r="FB56" s="145">
        <f t="shared" si="51"/>
        <v>1958</v>
      </c>
      <c r="FC56" s="145"/>
      <c r="FD56" s="87">
        <f t="shared" si="59"/>
        <v>187</v>
      </c>
      <c r="FE56" s="143">
        <f t="shared" si="54"/>
        <v>282</v>
      </c>
      <c r="FF56" s="115">
        <f t="shared" si="60"/>
        <v>2839</v>
      </c>
      <c r="FG56" s="238"/>
      <c r="FI56" s="232"/>
      <c r="FJ56" s="232"/>
      <c r="FK56" s="232"/>
      <c r="FL56" s="232"/>
      <c r="FM56" s="232"/>
      <c r="FN56" s="232"/>
      <c r="FO56" s="232"/>
      <c r="FP56" s="232"/>
    </row>
    <row r="57" spans="1:172" ht="12" customHeight="1" x14ac:dyDescent="0.2">
      <c r="A57" s="66" t="s">
        <v>67</v>
      </c>
      <c r="B57" s="51"/>
      <c r="C57" s="36"/>
      <c r="D57" s="36"/>
      <c r="E57" s="33"/>
      <c r="F57" s="52"/>
      <c r="G57" s="55"/>
      <c r="H57" s="33"/>
      <c r="I57" s="33"/>
      <c r="J57" s="33"/>
      <c r="K57" s="56"/>
      <c r="L57" s="78"/>
      <c r="M57" s="33"/>
      <c r="N57" s="33"/>
      <c r="O57" s="33"/>
      <c r="P57" s="198"/>
      <c r="Q57" s="55"/>
      <c r="R57" s="33"/>
      <c r="S57" s="33"/>
      <c r="T57" s="33"/>
      <c r="U57" s="56"/>
      <c r="V57" s="134">
        <v>0</v>
      </c>
      <c r="W57" s="88">
        <v>235</v>
      </c>
      <c r="X57" s="135">
        <v>14</v>
      </c>
      <c r="Y57" s="88">
        <v>19</v>
      </c>
      <c r="Z57" s="115">
        <f t="shared" si="61"/>
        <v>235</v>
      </c>
      <c r="AA57" s="150">
        <v>0</v>
      </c>
      <c r="AB57" s="87">
        <v>135</v>
      </c>
      <c r="AC57" s="87">
        <v>10</v>
      </c>
      <c r="AD57" s="88">
        <v>7</v>
      </c>
      <c r="AE57" s="168">
        <f t="shared" si="37"/>
        <v>135</v>
      </c>
      <c r="AF57" s="134">
        <v>0</v>
      </c>
      <c r="AG57" s="88">
        <v>533</v>
      </c>
      <c r="AH57" s="87">
        <v>24</v>
      </c>
      <c r="AI57" s="87">
        <v>62</v>
      </c>
      <c r="AJ57" s="115">
        <f t="shared" si="38"/>
        <v>533</v>
      </c>
      <c r="AK57" s="130">
        <v>0</v>
      </c>
      <c r="AL57" s="88">
        <v>253</v>
      </c>
      <c r="AM57" s="87">
        <v>18</v>
      </c>
      <c r="AN57" s="87">
        <v>20</v>
      </c>
      <c r="AO57" s="168">
        <f t="shared" si="39"/>
        <v>253</v>
      </c>
      <c r="AP57" s="152">
        <v>0</v>
      </c>
      <c r="AQ57" s="88">
        <v>158</v>
      </c>
      <c r="AR57" s="87">
        <v>8</v>
      </c>
      <c r="AS57" s="88">
        <v>9</v>
      </c>
      <c r="AT57" s="115">
        <f t="shared" si="55"/>
        <v>158</v>
      </c>
      <c r="AU57" s="378">
        <v>0</v>
      </c>
      <c r="AV57" s="88">
        <v>296</v>
      </c>
      <c r="AW57" s="87">
        <v>25</v>
      </c>
      <c r="AX57" s="88">
        <v>22</v>
      </c>
      <c r="AY57" s="168">
        <f t="shared" si="56"/>
        <v>296</v>
      </c>
      <c r="AZ57" s="134">
        <v>0</v>
      </c>
      <c r="BA57" s="88">
        <v>297</v>
      </c>
      <c r="BB57" s="87">
        <v>48</v>
      </c>
      <c r="BC57" s="88">
        <v>17</v>
      </c>
      <c r="BD57" s="115">
        <f t="shared" si="57"/>
        <v>297</v>
      </c>
      <c r="BE57" s="150">
        <v>0</v>
      </c>
      <c r="BF57" s="88">
        <v>195</v>
      </c>
      <c r="BG57" s="87">
        <v>16</v>
      </c>
      <c r="BH57" s="88">
        <v>8</v>
      </c>
      <c r="BI57" s="168">
        <f t="shared" si="58"/>
        <v>195</v>
      </c>
      <c r="BJ57" s="152">
        <v>0</v>
      </c>
      <c r="BK57" s="88">
        <v>258</v>
      </c>
      <c r="BL57" s="87">
        <f>BN56-BM56-BK57</f>
        <v>34</v>
      </c>
      <c r="BM57" s="88">
        <v>0</v>
      </c>
      <c r="BN57" s="115">
        <f t="shared" si="62"/>
        <v>258</v>
      </c>
      <c r="BO57" s="150"/>
      <c r="BP57" s="88"/>
      <c r="BQ57" s="88"/>
      <c r="BR57" s="88"/>
      <c r="BS57" s="88"/>
      <c r="BT57" s="168"/>
      <c r="BU57" s="152"/>
      <c r="BV57" s="150"/>
      <c r="BW57" s="150"/>
      <c r="BX57" s="150"/>
      <c r="BY57" s="150"/>
      <c r="BZ57" s="217"/>
      <c r="CA57" s="150"/>
      <c r="CB57" s="150"/>
      <c r="CC57" s="150"/>
      <c r="CD57" s="150"/>
      <c r="CE57" s="150"/>
      <c r="CF57" s="222"/>
      <c r="CG57" s="152"/>
      <c r="CH57" s="150"/>
      <c r="CI57" s="150"/>
      <c r="CJ57" s="150"/>
      <c r="CK57" s="150"/>
      <c r="CL57" s="217"/>
      <c r="CM57" s="150"/>
      <c r="CN57" s="150"/>
      <c r="CO57" s="150"/>
      <c r="CP57" s="150"/>
      <c r="CQ57" s="150"/>
      <c r="CR57" s="222"/>
      <c r="CS57" s="152"/>
      <c r="CT57" s="150"/>
      <c r="CU57" s="150"/>
      <c r="CV57" s="150"/>
      <c r="CW57" s="150"/>
      <c r="CX57" s="217"/>
      <c r="CY57" s="152"/>
      <c r="CZ57" s="150"/>
      <c r="DA57" s="150"/>
      <c r="DB57" s="150"/>
      <c r="DC57" s="150"/>
      <c r="DD57" s="217"/>
      <c r="DE57" s="150"/>
      <c r="DF57" s="150"/>
      <c r="DG57" s="150"/>
      <c r="DH57" s="150"/>
      <c r="DI57" s="150"/>
      <c r="DJ57" s="222"/>
      <c r="DK57" s="152"/>
      <c r="DL57" s="150"/>
      <c r="DM57" s="150"/>
      <c r="DN57" s="150"/>
      <c r="DO57" s="150"/>
      <c r="DP57" s="217"/>
      <c r="DQ57" s="150"/>
      <c r="DR57" s="150"/>
      <c r="DS57" s="150"/>
      <c r="DT57" s="150"/>
      <c r="DU57" s="150"/>
      <c r="DV57" s="222"/>
      <c r="DW57" s="152"/>
      <c r="DX57" s="150"/>
      <c r="DY57" s="150"/>
      <c r="DZ57" s="150"/>
      <c r="EA57" s="150"/>
      <c r="EB57" s="217"/>
      <c r="EC57" s="152"/>
      <c r="ED57" s="150"/>
      <c r="EE57" s="150"/>
      <c r="EF57" s="150"/>
      <c r="EG57" s="150"/>
      <c r="EH57" s="217"/>
      <c r="EI57" s="152"/>
      <c r="EJ57" s="150"/>
      <c r="EK57" s="150"/>
      <c r="EL57" s="150"/>
      <c r="EM57" s="150"/>
      <c r="EN57" s="217"/>
      <c r="EO57" s="152"/>
      <c r="EP57" s="150"/>
      <c r="EQ57" s="150"/>
      <c r="ER57" s="150"/>
      <c r="ES57" s="150"/>
      <c r="ET57" s="217"/>
      <c r="EU57" s="222"/>
      <c r="EV57" s="222"/>
      <c r="EW57" s="222"/>
      <c r="EX57" s="222"/>
      <c r="EY57" s="222"/>
      <c r="EZ57" s="222"/>
      <c r="FA57" s="171">
        <f t="shared" si="53"/>
        <v>0</v>
      </c>
      <c r="FB57" s="145">
        <f t="shared" si="51"/>
        <v>2360</v>
      </c>
      <c r="FC57" s="145"/>
      <c r="FD57" s="87">
        <f t="shared" si="59"/>
        <v>197</v>
      </c>
      <c r="FE57" s="145">
        <f t="shared" si="54"/>
        <v>164</v>
      </c>
      <c r="FF57" s="115">
        <f t="shared" si="60"/>
        <v>2360</v>
      </c>
      <c r="FG57" s="238"/>
      <c r="FI57" s="232"/>
      <c r="FJ57" s="232"/>
      <c r="FK57" s="232"/>
      <c r="FL57" s="232"/>
      <c r="FM57" s="232"/>
      <c r="FN57" s="232"/>
      <c r="FO57" s="232"/>
      <c r="FP57" s="232"/>
    </row>
    <row r="58" spans="1:172" ht="12" customHeight="1" thickBot="1" x14ac:dyDescent="0.25">
      <c r="A58" s="90" t="s">
        <v>68</v>
      </c>
      <c r="B58" s="91"/>
      <c r="C58" s="92"/>
      <c r="D58" s="92"/>
      <c r="E58" s="38"/>
      <c r="F58" s="93"/>
      <c r="G58" s="94"/>
      <c r="H58" s="38"/>
      <c r="I58" s="38"/>
      <c r="J58" s="38"/>
      <c r="K58" s="95"/>
      <c r="L58" s="192"/>
      <c r="M58" s="38"/>
      <c r="N58" s="38"/>
      <c r="O58" s="38"/>
      <c r="P58" s="201"/>
      <c r="Q58" s="94"/>
      <c r="R58" s="38"/>
      <c r="S58" s="38"/>
      <c r="T58" s="38"/>
      <c r="U58" s="95"/>
      <c r="V58" s="129">
        <v>47</v>
      </c>
      <c r="W58" s="96">
        <v>201</v>
      </c>
      <c r="X58" s="97">
        <v>15</v>
      </c>
      <c r="Y58" s="96">
        <v>25</v>
      </c>
      <c r="Z58" s="114">
        <f t="shared" si="61"/>
        <v>248</v>
      </c>
      <c r="AA58" s="178">
        <v>44</v>
      </c>
      <c r="AB58" s="97">
        <v>111</v>
      </c>
      <c r="AC58" s="97">
        <v>17</v>
      </c>
      <c r="AD58" s="96">
        <v>14</v>
      </c>
      <c r="AE58" s="167">
        <f t="shared" si="37"/>
        <v>155</v>
      </c>
      <c r="AF58" s="129">
        <v>136</v>
      </c>
      <c r="AG58" s="96">
        <v>459</v>
      </c>
      <c r="AH58" s="97">
        <v>12</v>
      </c>
      <c r="AI58" s="97">
        <v>73</v>
      </c>
      <c r="AJ58" s="114">
        <f t="shared" si="38"/>
        <v>595</v>
      </c>
      <c r="AK58" s="205">
        <v>45</v>
      </c>
      <c r="AL58" s="96">
        <v>226</v>
      </c>
      <c r="AM58" s="97">
        <v>7</v>
      </c>
      <c r="AN58" s="97">
        <v>27</v>
      </c>
      <c r="AO58" s="167">
        <f t="shared" si="39"/>
        <v>271</v>
      </c>
      <c r="AP58" s="149">
        <v>45</v>
      </c>
      <c r="AQ58" s="96">
        <v>139</v>
      </c>
      <c r="AR58" s="97">
        <v>10</v>
      </c>
      <c r="AS58" s="96">
        <v>9</v>
      </c>
      <c r="AT58" s="114">
        <f t="shared" si="55"/>
        <v>184</v>
      </c>
      <c r="AU58" s="379">
        <v>81</v>
      </c>
      <c r="AV58" s="96">
        <v>261</v>
      </c>
      <c r="AW58" s="97">
        <v>13</v>
      </c>
      <c r="AX58" s="96">
        <v>45</v>
      </c>
      <c r="AY58" s="167">
        <f t="shared" si="56"/>
        <v>342</v>
      </c>
      <c r="AZ58" s="129">
        <v>126</v>
      </c>
      <c r="BA58" s="96">
        <f>+BD57-BC57-BB58</f>
        <v>240</v>
      </c>
      <c r="BB58" s="97">
        <v>40</v>
      </c>
      <c r="BC58" s="96">
        <v>26</v>
      </c>
      <c r="BD58" s="114">
        <f t="shared" si="57"/>
        <v>366</v>
      </c>
      <c r="BE58" s="178">
        <v>50</v>
      </c>
      <c r="BF58" s="96">
        <v>178</v>
      </c>
      <c r="BG58" s="97">
        <v>9</v>
      </c>
      <c r="BH58" s="96">
        <v>22</v>
      </c>
      <c r="BI58" s="167">
        <f t="shared" si="58"/>
        <v>228</v>
      </c>
      <c r="BJ58" s="149">
        <v>181</v>
      </c>
      <c r="BK58" s="96">
        <v>241</v>
      </c>
      <c r="BL58" s="97">
        <f>BN57-BM57-BK58</f>
        <v>17</v>
      </c>
      <c r="BM58" s="96">
        <v>0</v>
      </c>
      <c r="BN58" s="114">
        <f t="shared" si="62"/>
        <v>422</v>
      </c>
      <c r="BO58" s="150"/>
      <c r="BP58" s="88"/>
      <c r="BQ58" s="88"/>
      <c r="BR58" s="88"/>
      <c r="BS58" s="88"/>
      <c r="BT58" s="168"/>
      <c r="BU58" s="149"/>
      <c r="BV58" s="178"/>
      <c r="BW58" s="178"/>
      <c r="BX58" s="178"/>
      <c r="BY58" s="178"/>
      <c r="BZ58" s="220"/>
      <c r="CA58" s="178"/>
      <c r="CB58" s="178"/>
      <c r="CC58" s="178"/>
      <c r="CD58" s="178"/>
      <c r="CE58" s="178"/>
      <c r="CF58" s="224"/>
      <c r="CG58" s="149"/>
      <c r="CH58" s="178"/>
      <c r="CI58" s="178"/>
      <c r="CJ58" s="178"/>
      <c r="CK58" s="178"/>
      <c r="CL58" s="220"/>
      <c r="CM58" s="178"/>
      <c r="CN58" s="178"/>
      <c r="CO58" s="178"/>
      <c r="CP58" s="178"/>
      <c r="CQ58" s="178"/>
      <c r="CR58" s="224"/>
      <c r="CS58" s="149"/>
      <c r="CT58" s="178"/>
      <c r="CU58" s="178"/>
      <c r="CV58" s="178"/>
      <c r="CW58" s="178"/>
      <c r="CX58" s="220"/>
      <c r="CY58" s="149"/>
      <c r="CZ58" s="178"/>
      <c r="DA58" s="178"/>
      <c r="DB58" s="178"/>
      <c r="DC58" s="178"/>
      <c r="DD58" s="220"/>
      <c r="DE58" s="178"/>
      <c r="DF58" s="178"/>
      <c r="DG58" s="178"/>
      <c r="DH58" s="178"/>
      <c r="DI58" s="178"/>
      <c r="DJ58" s="224"/>
      <c r="DK58" s="149"/>
      <c r="DL58" s="178"/>
      <c r="DM58" s="178"/>
      <c r="DN58" s="178"/>
      <c r="DO58" s="178"/>
      <c r="DP58" s="220"/>
      <c r="DQ58" s="178"/>
      <c r="DR58" s="178"/>
      <c r="DS58" s="178"/>
      <c r="DT58" s="178"/>
      <c r="DU58" s="178"/>
      <c r="DV58" s="224"/>
      <c r="DW58" s="149"/>
      <c r="DX58" s="178"/>
      <c r="DY58" s="178"/>
      <c r="DZ58" s="178"/>
      <c r="EA58" s="178"/>
      <c r="EB58" s="220"/>
      <c r="EC58" s="149"/>
      <c r="ED58" s="178"/>
      <c r="EE58" s="178"/>
      <c r="EF58" s="178"/>
      <c r="EG58" s="178"/>
      <c r="EH58" s="220"/>
      <c r="EI58" s="149"/>
      <c r="EJ58" s="178"/>
      <c r="EK58" s="178"/>
      <c r="EL58" s="178"/>
      <c r="EM58" s="178"/>
      <c r="EN58" s="220"/>
      <c r="EO58" s="149"/>
      <c r="EP58" s="178"/>
      <c r="EQ58" s="178"/>
      <c r="ER58" s="178"/>
      <c r="ES58" s="178"/>
      <c r="ET58" s="220"/>
      <c r="EU58" s="224"/>
      <c r="EV58" s="224"/>
      <c r="EW58" s="224"/>
      <c r="EX58" s="224"/>
      <c r="EY58" s="224"/>
      <c r="EZ58" s="224"/>
      <c r="FA58" s="172">
        <f t="shared" si="53"/>
        <v>755</v>
      </c>
      <c r="FB58" s="143">
        <f t="shared" si="51"/>
        <v>2056</v>
      </c>
      <c r="FC58" s="143"/>
      <c r="FD58" s="97">
        <f t="shared" si="59"/>
        <v>140</v>
      </c>
      <c r="FE58" s="143">
        <f t="shared" si="54"/>
        <v>241</v>
      </c>
      <c r="FF58" s="114">
        <f t="shared" si="60"/>
        <v>2811</v>
      </c>
      <c r="FG58" s="238"/>
      <c r="FI58" s="232"/>
      <c r="FJ58" s="232"/>
      <c r="FK58" s="232"/>
      <c r="FL58" s="232"/>
      <c r="FM58" s="232"/>
      <c r="FN58" s="232"/>
      <c r="FO58" s="232"/>
      <c r="FP58" s="232"/>
    </row>
    <row r="59" spans="1:172" ht="12" customHeight="1" x14ac:dyDescent="0.2">
      <c r="A59" s="66" t="s">
        <v>75</v>
      </c>
      <c r="B59" s="51"/>
      <c r="C59" s="36"/>
      <c r="D59" s="36"/>
      <c r="E59" s="33"/>
      <c r="F59" s="52"/>
      <c r="G59" s="55"/>
      <c r="H59" s="33"/>
      <c r="I59" s="33"/>
      <c r="J59" s="33"/>
      <c r="K59" s="56"/>
      <c r="L59" s="78"/>
      <c r="M59" s="33"/>
      <c r="N59" s="33"/>
      <c r="O59" s="33"/>
      <c r="P59" s="198"/>
      <c r="Q59" s="55"/>
      <c r="R59" s="33"/>
      <c r="S59" s="33"/>
      <c r="T59" s="33"/>
      <c r="U59" s="56"/>
      <c r="V59" s="128">
        <v>0</v>
      </c>
      <c r="W59" s="101">
        <v>213</v>
      </c>
      <c r="X59" s="101">
        <v>10</v>
      </c>
      <c r="Y59" s="101">
        <v>22</v>
      </c>
      <c r="Z59" s="111">
        <f t="shared" si="61"/>
        <v>213</v>
      </c>
      <c r="AA59" s="171">
        <v>0</v>
      </c>
      <c r="AB59" s="101">
        <v>127</v>
      </c>
      <c r="AC59" s="101">
        <v>14</v>
      </c>
      <c r="AD59" s="101">
        <v>9</v>
      </c>
      <c r="AE59" s="166">
        <f t="shared" si="37"/>
        <v>127</v>
      </c>
      <c r="AF59" s="128">
        <v>0</v>
      </c>
      <c r="AG59" s="101">
        <v>485</v>
      </c>
      <c r="AH59" s="101">
        <v>37</v>
      </c>
      <c r="AI59" s="101">
        <v>58</v>
      </c>
      <c r="AJ59" s="111">
        <f t="shared" si="38"/>
        <v>485</v>
      </c>
      <c r="AK59" s="171">
        <v>39</v>
      </c>
      <c r="AL59" s="101">
        <v>228</v>
      </c>
      <c r="AM59" s="101">
        <v>16</v>
      </c>
      <c r="AN59" s="101">
        <v>21</v>
      </c>
      <c r="AO59" s="166">
        <f t="shared" si="39"/>
        <v>267</v>
      </c>
      <c r="AP59" s="128">
        <v>0</v>
      </c>
      <c r="AQ59" s="101">
        <v>152</v>
      </c>
      <c r="AR59" s="101">
        <v>23</v>
      </c>
      <c r="AS59" s="101">
        <v>11</v>
      </c>
      <c r="AT59" s="111">
        <f t="shared" si="55"/>
        <v>152</v>
      </c>
      <c r="AU59" s="373">
        <v>0</v>
      </c>
      <c r="AV59" s="101">
        <v>272</v>
      </c>
      <c r="AW59" s="101">
        <v>25</v>
      </c>
      <c r="AX59" s="101">
        <v>29</v>
      </c>
      <c r="AY59" s="166">
        <f t="shared" si="56"/>
        <v>272</v>
      </c>
      <c r="AZ59" s="128">
        <v>0</v>
      </c>
      <c r="BA59" s="101">
        <v>273</v>
      </c>
      <c r="BB59" s="101">
        <v>67</v>
      </c>
      <c r="BC59" s="101">
        <v>24</v>
      </c>
      <c r="BD59" s="111">
        <v>273</v>
      </c>
      <c r="BE59" s="171">
        <v>19</v>
      </c>
      <c r="BF59" s="101">
        <v>190</v>
      </c>
      <c r="BG59" s="101">
        <v>16</v>
      </c>
      <c r="BH59" s="101">
        <v>23</v>
      </c>
      <c r="BI59" s="166">
        <f t="shared" si="58"/>
        <v>209</v>
      </c>
      <c r="BJ59" s="128">
        <v>0</v>
      </c>
      <c r="BK59" s="101">
        <v>387</v>
      </c>
      <c r="BL59" s="101">
        <v>35</v>
      </c>
      <c r="BM59" s="101">
        <v>0</v>
      </c>
      <c r="BN59" s="111">
        <f t="shared" si="62"/>
        <v>387</v>
      </c>
      <c r="BO59" s="176"/>
      <c r="BP59" s="103"/>
      <c r="BQ59" s="103"/>
      <c r="BR59" s="103"/>
      <c r="BS59" s="103"/>
      <c r="BT59" s="166"/>
      <c r="BU59" s="127"/>
      <c r="BV59" s="176"/>
      <c r="BW59" s="176"/>
      <c r="BX59" s="176"/>
      <c r="BY59" s="176"/>
      <c r="BZ59" s="112"/>
      <c r="CA59" s="176"/>
      <c r="CB59" s="176"/>
      <c r="CC59" s="176"/>
      <c r="CD59" s="176"/>
      <c r="CE59" s="176"/>
      <c r="CF59" s="160"/>
      <c r="CG59" s="127"/>
      <c r="CH59" s="176"/>
      <c r="CI59" s="176"/>
      <c r="CJ59" s="176"/>
      <c r="CK59" s="176"/>
      <c r="CL59" s="112"/>
      <c r="CM59" s="176"/>
      <c r="CN59" s="176"/>
      <c r="CO59" s="176"/>
      <c r="CP59" s="176"/>
      <c r="CQ59" s="176"/>
      <c r="CR59" s="160"/>
      <c r="CS59" s="127"/>
      <c r="CT59" s="176"/>
      <c r="CU59" s="176"/>
      <c r="CV59" s="176"/>
      <c r="CW59" s="176"/>
      <c r="CX59" s="112"/>
      <c r="CY59" s="127"/>
      <c r="CZ59" s="176"/>
      <c r="DA59" s="176"/>
      <c r="DB59" s="176"/>
      <c r="DC59" s="176"/>
      <c r="DD59" s="112"/>
      <c r="DE59" s="176"/>
      <c r="DF59" s="176"/>
      <c r="DG59" s="176"/>
      <c r="DH59" s="176"/>
      <c r="DI59" s="176"/>
      <c r="DJ59" s="160"/>
      <c r="DK59" s="127"/>
      <c r="DL59" s="176"/>
      <c r="DM59" s="176"/>
      <c r="DN59" s="176"/>
      <c r="DO59" s="176"/>
      <c r="DP59" s="112"/>
      <c r="DQ59" s="176"/>
      <c r="DR59" s="176"/>
      <c r="DS59" s="176"/>
      <c r="DT59" s="176"/>
      <c r="DU59" s="176"/>
      <c r="DV59" s="160"/>
      <c r="DW59" s="127"/>
      <c r="DX59" s="176"/>
      <c r="DY59" s="176"/>
      <c r="DZ59" s="176"/>
      <c r="EA59" s="176"/>
      <c r="EB59" s="112"/>
      <c r="EC59" s="127"/>
      <c r="ED59" s="176"/>
      <c r="EE59" s="176"/>
      <c r="EF59" s="176"/>
      <c r="EG59" s="176"/>
      <c r="EH59" s="112"/>
      <c r="EI59" s="127"/>
      <c r="EJ59" s="176"/>
      <c r="EK59" s="176"/>
      <c r="EL59" s="176"/>
      <c r="EM59" s="176"/>
      <c r="EN59" s="112"/>
      <c r="EO59" s="127"/>
      <c r="EP59" s="176"/>
      <c r="EQ59" s="176"/>
      <c r="ER59" s="176"/>
      <c r="ES59" s="176"/>
      <c r="ET59" s="112"/>
      <c r="EU59" s="160"/>
      <c r="EV59" s="160"/>
      <c r="EW59" s="160"/>
      <c r="EX59" s="160"/>
      <c r="EY59" s="160"/>
      <c r="EZ59" s="160"/>
      <c r="FA59" s="171">
        <f t="shared" si="53"/>
        <v>58</v>
      </c>
      <c r="FB59" s="143">
        <f t="shared" si="51"/>
        <v>2327</v>
      </c>
      <c r="FC59" s="143"/>
      <c r="FD59" s="97">
        <f>SUM(FF58-FE58-FB59)</f>
        <v>243</v>
      </c>
      <c r="FE59" s="143">
        <f t="shared" si="54"/>
        <v>197</v>
      </c>
      <c r="FF59" s="114">
        <f t="shared" si="60"/>
        <v>2385</v>
      </c>
      <c r="FG59" s="238"/>
      <c r="FI59" s="232" t="s">
        <v>229</v>
      </c>
      <c r="FJ59" s="232"/>
      <c r="FK59" s="232"/>
      <c r="FL59" s="232"/>
      <c r="FM59" s="232"/>
      <c r="FN59" s="232"/>
      <c r="FO59" s="232"/>
      <c r="FP59" s="232"/>
    </row>
    <row r="60" spans="1:172" ht="12" customHeight="1" x14ac:dyDescent="0.2">
      <c r="A60" s="43" t="s">
        <v>76</v>
      </c>
      <c r="B60" s="70"/>
      <c r="C60" s="35"/>
      <c r="D60" s="36"/>
      <c r="E60" s="35"/>
      <c r="F60" s="52"/>
      <c r="G60" s="37"/>
      <c r="H60" s="34"/>
      <c r="I60" s="33"/>
      <c r="J60" s="34"/>
      <c r="K60" s="56"/>
      <c r="L60" s="189"/>
      <c r="M60" s="34"/>
      <c r="N60" s="33"/>
      <c r="O60" s="34"/>
      <c r="P60" s="198"/>
      <c r="Q60" s="37"/>
      <c r="R60" s="34"/>
      <c r="S60" s="33"/>
      <c r="T60" s="34"/>
      <c r="U60" s="52"/>
      <c r="V60" s="127">
        <v>36</v>
      </c>
      <c r="W60" s="103">
        <v>173</v>
      </c>
      <c r="X60" s="103">
        <v>18</v>
      </c>
      <c r="Y60" s="101">
        <v>21</v>
      </c>
      <c r="Z60" s="109">
        <f t="shared" si="61"/>
        <v>209</v>
      </c>
      <c r="AA60" s="171">
        <v>39</v>
      </c>
      <c r="AB60" s="101">
        <v>100</v>
      </c>
      <c r="AC60" s="101">
        <v>18</v>
      </c>
      <c r="AD60" s="101">
        <v>17</v>
      </c>
      <c r="AE60" s="164">
        <f t="shared" si="37"/>
        <v>139</v>
      </c>
      <c r="AF60" s="128">
        <v>142</v>
      </c>
      <c r="AG60" s="101">
        <v>400</v>
      </c>
      <c r="AH60" s="101">
        <v>27</v>
      </c>
      <c r="AI60" s="101">
        <v>48</v>
      </c>
      <c r="AJ60" s="109">
        <f t="shared" si="38"/>
        <v>542</v>
      </c>
      <c r="AK60" s="171">
        <v>82</v>
      </c>
      <c r="AL60" s="101">
        <v>229</v>
      </c>
      <c r="AM60" s="101">
        <v>17</v>
      </c>
      <c r="AN60" s="101">
        <v>34</v>
      </c>
      <c r="AO60" s="164">
        <f t="shared" si="39"/>
        <v>311</v>
      </c>
      <c r="AP60" s="128">
        <v>45</v>
      </c>
      <c r="AQ60" s="103">
        <v>131</v>
      </c>
      <c r="AR60" s="101">
        <v>10</v>
      </c>
      <c r="AS60" s="103">
        <v>22</v>
      </c>
      <c r="AT60" s="211">
        <f t="shared" si="55"/>
        <v>176</v>
      </c>
      <c r="AU60" s="373">
        <v>81</v>
      </c>
      <c r="AV60" s="101">
        <v>235</v>
      </c>
      <c r="AW60" s="101">
        <v>8</v>
      </c>
      <c r="AX60" s="261">
        <v>35</v>
      </c>
      <c r="AY60" s="164">
        <f t="shared" si="56"/>
        <v>316</v>
      </c>
      <c r="AZ60" s="128">
        <v>123</v>
      </c>
      <c r="BA60" s="101">
        <v>208</v>
      </c>
      <c r="BB60" s="101">
        <v>41</v>
      </c>
      <c r="BC60" s="261">
        <v>26</v>
      </c>
      <c r="BD60" s="262">
        <v>331</v>
      </c>
      <c r="BE60" s="171">
        <v>46</v>
      </c>
      <c r="BF60" s="101">
        <v>160</v>
      </c>
      <c r="BG60" s="101">
        <v>26</v>
      </c>
      <c r="BH60" s="261">
        <v>21</v>
      </c>
      <c r="BI60" s="164">
        <f t="shared" si="58"/>
        <v>206</v>
      </c>
      <c r="BJ60" s="128">
        <v>134</v>
      </c>
      <c r="BK60" s="101">
        <v>366</v>
      </c>
      <c r="BL60" s="101">
        <v>21</v>
      </c>
      <c r="BM60" s="261">
        <v>0</v>
      </c>
      <c r="BN60" s="109">
        <f t="shared" si="62"/>
        <v>500</v>
      </c>
      <c r="BO60" s="171"/>
      <c r="BP60" s="101"/>
      <c r="BQ60" s="101"/>
      <c r="BR60" s="101"/>
      <c r="BS60" s="101"/>
      <c r="BT60" s="164"/>
      <c r="BU60" s="128"/>
      <c r="BV60" s="171"/>
      <c r="BW60" s="171"/>
      <c r="BX60" s="171"/>
      <c r="BY60" s="171"/>
      <c r="BZ60" s="123"/>
      <c r="CA60" s="171"/>
      <c r="CB60" s="171"/>
      <c r="CC60" s="171"/>
      <c r="CD60" s="171"/>
      <c r="CE60" s="171"/>
      <c r="CF60" s="204"/>
      <c r="CG60" s="128"/>
      <c r="CH60" s="171"/>
      <c r="CI60" s="171"/>
      <c r="CJ60" s="171"/>
      <c r="CK60" s="171"/>
      <c r="CL60" s="123"/>
      <c r="CM60" s="171"/>
      <c r="CN60" s="171"/>
      <c r="CO60" s="171"/>
      <c r="CP60" s="171"/>
      <c r="CQ60" s="171"/>
      <c r="CR60" s="204"/>
      <c r="CS60" s="128"/>
      <c r="CT60" s="171"/>
      <c r="CU60" s="171"/>
      <c r="CV60" s="171"/>
      <c r="CW60" s="171"/>
      <c r="CX60" s="123"/>
      <c r="CY60" s="128"/>
      <c r="CZ60" s="171"/>
      <c r="DA60" s="171"/>
      <c r="DB60" s="171"/>
      <c r="DC60" s="171"/>
      <c r="DD60" s="123"/>
      <c r="DE60" s="171"/>
      <c r="DF60" s="171"/>
      <c r="DG60" s="171"/>
      <c r="DH60" s="171"/>
      <c r="DI60" s="171"/>
      <c r="DJ60" s="204"/>
      <c r="DK60" s="128"/>
      <c r="DL60" s="171"/>
      <c r="DM60" s="171"/>
      <c r="DN60" s="171"/>
      <c r="DO60" s="171"/>
      <c r="DP60" s="123"/>
      <c r="DQ60" s="171"/>
      <c r="DR60" s="171"/>
      <c r="DS60" s="171"/>
      <c r="DT60" s="171"/>
      <c r="DU60" s="171"/>
      <c r="DV60" s="204"/>
      <c r="DW60" s="128"/>
      <c r="DX60" s="171"/>
      <c r="DY60" s="171"/>
      <c r="DZ60" s="171"/>
      <c r="EA60" s="171"/>
      <c r="EB60" s="123"/>
      <c r="EC60" s="128"/>
      <c r="ED60" s="171"/>
      <c r="EE60" s="171"/>
      <c r="EF60" s="171"/>
      <c r="EG60" s="171"/>
      <c r="EH60" s="123"/>
      <c r="EI60" s="128"/>
      <c r="EJ60" s="171"/>
      <c r="EK60" s="171"/>
      <c r="EL60" s="171"/>
      <c r="EM60" s="171"/>
      <c r="EN60" s="123"/>
      <c r="EO60" s="128"/>
      <c r="EP60" s="171"/>
      <c r="EQ60" s="171"/>
      <c r="ER60" s="171"/>
      <c r="ES60" s="171"/>
      <c r="ET60" s="123"/>
      <c r="EU60" s="204"/>
      <c r="EV60" s="204"/>
      <c r="EW60" s="204"/>
      <c r="EX60" s="204"/>
      <c r="EY60" s="204"/>
      <c r="EZ60" s="204"/>
      <c r="FA60" s="171">
        <f t="shared" si="53"/>
        <v>728</v>
      </c>
      <c r="FB60" s="143">
        <f t="shared" si="51"/>
        <v>2002</v>
      </c>
      <c r="FC60" s="143"/>
      <c r="FD60" s="97">
        <f>SUM(FF59-FE59-FB60)</f>
        <v>186</v>
      </c>
      <c r="FE60" s="143">
        <f t="shared" si="54"/>
        <v>224</v>
      </c>
      <c r="FF60" s="114">
        <f t="shared" si="60"/>
        <v>2730</v>
      </c>
      <c r="FG60" s="238"/>
      <c r="FI60" s="40">
        <v>28</v>
      </c>
      <c r="FJ60" s="40" t="s">
        <v>230</v>
      </c>
      <c r="FK60" s="232"/>
      <c r="FL60" s="232"/>
      <c r="FM60" s="232"/>
      <c r="FN60" s="232"/>
      <c r="FO60" s="232"/>
      <c r="FP60" s="232"/>
    </row>
    <row r="61" spans="1:172" s="40" customFormat="1" ht="12" customHeight="1" x14ac:dyDescent="0.2">
      <c r="A61" s="66" t="s">
        <v>77</v>
      </c>
      <c r="B61" s="70"/>
      <c r="C61" s="35"/>
      <c r="D61" s="36"/>
      <c r="E61" s="35"/>
      <c r="F61" s="52"/>
      <c r="G61" s="37"/>
      <c r="H61" s="34"/>
      <c r="I61" s="33"/>
      <c r="J61" s="34"/>
      <c r="K61" s="56"/>
      <c r="L61" s="189"/>
      <c r="M61" s="34"/>
      <c r="N61" s="33"/>
      <c r="O61" s="34"/>
      <c r="P61" s="198"/>
      <c r="Q61" s="37"/>
      <c r="R61" s="34"/>
      <c r="S61" s="33"/>
      <c r="T61" s="34"/>
      <c r="U61" s="52"/>
      <c r="V61" s="127">
        <v>0</v>
      </c>
      <c r="W61" s="103">
        <v>179</v>
      </c>
      <c r="X61" s="101">
        <v>9</v>
      </c>
      <c r="Y61" s="101">
        <v>10</v>
      </c>
      <c r="Z61" s="109">
        <f t="shared" si="61"/>
        <v>179</v>
      </c>
      <c r="AA61" s="171">
        <v>0</v>
      </c>
      <c r="AB61" s="101">
        <v>121</v>
      </c>
      <c r="AC61" s="101">
        <v>1</v>
      </c>
      <c r="AD61" s="101">
        <v>7</v>
      </c>
      <c r="AE61" s="164">
        <f t="shared" si="37"/>
        <v>121</v>
      </c>
      <c r="AF61" s="128">
        <v>0</v>
      </c>
      <c r="AG61" s="101">
        <v>464</v>
      </c>
      <c r="AH61" s="101">
        <v>30</v>
      </c>
      <c r="AI61" s="101">
        <v>24</v>
      </c>
      <c r="AJ61" s="109">
        <f t="shared" si="38"/>
        <v>464</v>
      </c>
      <c r="AK61" s="171">
        <v>0</v>
      </c>
      <c r="AL61" s="101">
        <v>250</v>
      </c>
      <c r="AM61" s="101">
        <v>27</v>
      </c>
      <c r="AN61" s="101">
        <v>42</v>
      </c>
      <c r="AO61" s="164">
        <f t="shared" si="39"/>
        <v>250</v>
      </c>
      <c r="AP61" s="128">
        <v>0</v>
      </c>
      <c r="AQ61" s="103">
        <v>135</v>
      </c>
      <c r="AR61" s="101">
        <v>19</v>
      </c>
      <c r="AS61" s="103">
        <v>21</v>
      </c>
      <c r="AT61" s="109">
        <f t="shared" si="55"/>
        <v>135</v>
      </c>
      <c r="AU61" s="373">
        <v>0</v>
      </c>
      <c r="AV61" s="101">
        <v>251</v>
      </c>
      <c r="AW61" s="101">
        <v>30</v>
      </c>
      <c r="AX61" s="101">
        <v>23</v>
      </c>
      <c r="AY61" s="164">
        <f t="shared" si="56"/>
        <v>251</v>
      </c>
      <c r="AZ61" s="128">
        <v>0</v>
      </c>
      <c r="BA61" s="101">
        <v>272</v>
      </c>
      <c r="BB61" s="101">
        <v>33</v>
      </c>
      <c r="BC61" s="101">
        <v>38</v>
      </c>
      <c r="BD61" s="109">
        <v>272</v>
      </c>
      <c r="BE61" s="171">
        <v>0</v>
      </c>
      <c r="BF61" s="101">
        <v>165</v>
      </c>
      <c r="BG61" s="101">
        <v>20</v>
      </c>
      <c r="BH61" s="101">
        <v>13</v>
      </c>
      <c r="BI61" s="164">
        <f t="shared" si="58"/>
        <v>165</v>
      </c>
      <c r="BJ61" s="128">
        <v>0</v>
      </c>
      <c r="BK61" s="101">
        <v>475</v>
      </c>
      <c r="BL61" s="101">
        <v>25</v>
      </c>
      <c r="BM61" s="101">
        <v>9</v>
      </c>
      <c r="BN61" s="109">
        <f t="shared" si="62"/>
        <v>475</v>
      </c>
      <c r="BO61" s="171"/>
      <c r="BP61" s="101"/>
      <c r="BQ61" s="101"/>
      <c r="BR61" s="101"/>
      <c r="BS61" s="101"/>
      <c r="BT61" s="164"/>
      <c r="BU61" s="128"/>
      <c r="BV61" s="171"/>
      <c r="BW61" s="171"/>
      <c r="BX61" s="171"/>
      <c r="BY61" s="171"/>
      <c r="BZ61" s="123"/>
      <c r="CA61" s="171"/>
      <c r="CB61" s="171"/>
      <c r="CC61" s="171"/>
      <c r="CD61" s="171"/>
      <c r="CE61" s="171"/>
      <c r="CF61" s="204"/>
      <c r="CG61" s="128"/>
      <c r="CH61" s="171"/>
      <c r="CI61" s="171"/>
      <c r="CJ61" s="171"/>
      <c r="CK61" s="171"/>
      <c r="CL61" s="123"/>
      <c r="CM61" s="171"/>
      <c r="CN61" s="171"/>
      <c r="CO61" s="171"/>
      <c r="CP61" s="171"/>
      <c r="CQ61" s="171"/>
      <c r="CR61" s="204"/>
      <c r="CS61" s="128"/>
      <c r="CT61" s="171"/>
      <c r="CU61" s="171"/>
      <c r="CV61" s="171"/>
      <c r="CW61" s="171"/>
      <c r="CX61" s="123"/>
      <c r="CY61" s="128"/>
      <c r="CZ61" s="171"/>
      <c r="DA61" s="171"/>
      <c r="DB61" s="171"/>
      <c r="DC61" s="171"/>
      <c r="DD61" s="123"/>
      <c r="DE61" s="171"/>
      <c r="DF61" s="171"/>
      <c r="DG61" s="171"/>
      <c r="DH61" s="171"/>
      <c r="DI61" s="171"/>
      <c r="DJ61" s="204"/>
      <c r="DK61" s="128"/>
      <c r="DL61" s="171"/>
      <c r="DM61" s="171"/>
      <c r="DN61" s="171"/>
      <c r="DO61" s="171"/>
      <c r="DP61" s="123"/>
      <c r="DQ61" s="171"/>
      <c r="DR61" s="171"/>
      <c r="DS61" s="171"/>
      <c r="DT61" s="171"/>
      <c r="DU61" s="171"/>
      <c r="DV61" s="204"/>
      <c r="DW61" s="128"/>
      <c r="DX61" s="171"/>
      <c r="DY61" s="171"/>
      <c r="DZ61" s="171"/>
      <c r="EA61" s="171"/>
      <c r="EB61" s="123"/>
      <c r="EC61" s="128"/>
      <c r="ED61" s="171"/>
      <c r="EE61" s="171"/>
      <c r="EF61" s="171"/>
      <c r="EG61" s="171"/>
      <c r="EH61" s="123"/>
      <c r="EI61" s="128"/>
      <c r="EJ61" s="171"/>
      <c r="EK61" s="171"/>
      <c r="EL61" s="171"/>
      <c r="EM61" s="171"/>
      <c r="EN61" s="123"/>
      <c r="EO61" s="128"/>
      <c r="EP61" s="171"/>
      <c r="EQ61" s="171"/>
      <c r="ER61" s="171"/>
      <c r="ES61" s="171"/>
      <c r="ET61" s="123"/>
      <c r="EU61" s="204"/>
      <c r="EV61" s="204"/>
      <c r="EW61" s="204"/>
      <c r="EX61" s="204"/>
      <c r="EY61" s="204"/>
      <c r="EZ61" s="204"/>
      <c r="FA61" s="171">
        <f t="shared" si="53"/>
        <v>0</v>
      </c>
      <c r="FB61" s="143">
        <f t="shared" si="51"/>
        <v>2312</v>
      </c>
      <c r="FC61" s="143"/>
      <c r="FD61" s="97">
        <f>SUM(FF60-FE60-FB61)</f>
        <v>194</v>
      </c>
      <c r="FE61" s="143">
        <f t="shared" si="54"/>
        <v>187</v>
      </c>
      <c r="FF61" s="114">
        <f t="shared" si="60"/>
        <v>2312</v>
      </c>
      <c r="FG61" s="238"/>
      <c r="FH61" s="39"/>
    </row>
    <row r="62" spans="1:172" ht="12.75" customHeight="1" x14ac:dyDescent="0.2">
      <c r="A62" s="43" t="s">
        <v>78</v>
      </c>
      <c r="B62" s="51"/>
      <c r="C62" s="36"/>
      <c r="D62" s="36"/>
      <c r="E62" s="36"/>
      <c r="F62" s="194"/>
      <c r="G62" s="51"/>
      <c r="H62" s="36"/>
      <c r="I62" s="36"/>
      <c r="J62" s="36"/>
      <c r="K62" s="194"/>
      <c r="L62" s="77"/>
      <c r="M62" s="36"/>
      <c r="N62" s="36"/>
      <c r="O62" s="36"/>
      <c r="P62" s="185"/>
      <c r="Q62" s="51"/>
      <c r="R62" s="36"/>
      <c r="S62" s="36"/>
      <c r="T62" s="36"/>
      <c r="U62" s="194"/>
      <c r="V62" s="128">
        <v>39</v>
      </c>
      <c r="W62" s="101">
        <v>144</v>
      </c>
      <c r="X62" s="101">
        <v>25</v>
      </c>
      <c r="Y62" s="101">
        <v>23</v>
      </c>
      <c r="Z62" s="109">
        <v>183</v>
      </c>
      <c r="AA62" s="171">
        <v>36</v>
      </c>
      <c r="AB62" s="101">
        <v>115</v>
      </c>
      <c r="AC62" s="117">
        <v>-1</v>
      </c>
      <c r="AD62" s="101">
        <v>17</v>
      </c>
      <c r="AE62" s="164">
        <v>151</v>
      </c>
      <c r="AF62" s="128">
        <v>197</v>
      </c>
      <c r="AG62" s="101">
        <v>407</v>
      </c>
      <c r="AH62" s="101">
        <v>33</v>
      </c>
      <c r="AI62" s="101">
        <v>36</v>
      </c>
      <c r="AJ62" s="109">
        <v>604</v>
      </c>
      <c r="AK62" s="171">
        <v>77</v>
      </c>
      <c r="AL62" s="101">
        <v>168</v>
      </c>
      <c r="AM62" s="101">
        <v>40</v>
      </c>
      <c r="AN62" s="101">
        <v>23</v>
      </c>
      <c r="AO62" s="164">
        <v>245</v>
      </c>
      <c r="AP62" s="128">
        <v>65</v>
      </c>
      <c r="AQ62" s="101">
        <v>105</v>
      </c>
      <c r="AR62" s="101">
        <v>9</v>
      </c>
      <c r="AS62" s="101">
        <v>6</v>
      </c>
      <c r="AT62" s="109">
        <v>170</v>
      </c>
      <c r="AU62" s="373">
        <v>62</v>
      </c>
      <c r="AV62" s="101">
        <v>211</v>
      </c>
      <c r="AW62" s="101">
        <v>17</v>
      </c>
      <c r="AX62" s="101">
        <v>30</v>
      </c>
      <c r="AY62" s="164">
        <v>273</v>
      </c>
      <c r="AZ62" s="128">
        <v>114</v>
      </c>
      <c r="BA62" s="101">
        <v>194</v>
      </c>
      <c r="BB62" s="101">
        <v>40</v>
      </c>
      <c r="BC62" s="101">
        <v>23</v>
      </c>
      <c r="BD62" s="109">
        <v>308</v>
      </c>
      <c r="BE62" s="171">
        <v>69</v>
      </c>
      <c r="BF62" s="101">
        <v>138</v>
      </c>
      <c r="BG62" s="101">
        <v>14</v>
      </c>
      <c r="BH62" s="101">
        <v>29</v>
      </c>
      <c r="BI62" s="164">
        <v>207</v>
      </c>
      <c r="BJ62" s="128">
        <v>120</v>
      </c>
      <c r="BK62" s="101">
        <v>428</v>
      </c>
      <c r="BL62" s="101">
        <v>38</v>
      </c>
      <c r="BM62" s="101">
        <v>24</v>
      </c>
      <c r="BN62" s="109">
        <v>548</v>
      </c>
      <c r="BO62" s="171"/>
      <c r="BP62" s="101"/>
      <c r="BQ62" s="101"/>
      <c r="BR62" s="101"/>
      <c r="BS62" s="101"/>
      <c r="BT62" s="164"/>
      <c r="BU62" s="128"/>
      <c r="BV62" s="171"/>
      <c r="BW62" s="171"/>
      <c r="BX62" s="171"/>
      <c r="BY62" s="171"/>
      <c r="BZ62" s="123"/>
      <c r="CA62" s="171"/>
      <c r="CB62" s="171"/>
      <c r="CC62" s="171"/>
      <c r="CD62" s="171"/>
      <c r="CE62" s="171"/>
      <c r="CF62" s="204"/>
      <c r="CG62" s="128"/>
      <c r="CH62" s="171"/>
      <c r="CI62" s="171"/>
      <c r="CJ62" s="171"/>
      <c r="CK62" s="171"/>
      <c r="CL62" s="123"/>
      <c r="CM62" s="171"/>
      <c r="CN62" s="171"/>
      <c r="CO62" s="171"/>
      <c r="CP62" s="171"/>
      <c r="CQ62" s="171"/>
      <c r="CR62" s="204"/>
      <c r="CS62" s="128"/>
      <c r="CT62" s="171"/>
      <c r="CU62" s="171"/>
      <c r="CV62" s="171"/>
      <c r="CW62" s="171"/>
      <c r="CX62" s="123"/>
      <c r="CY62" s="128"/>
      <c r="CZ62" s="171"/>
      <c r="DA62" s="171"/>
      <c r="DB62" s="171"/>
      <c r="DC62" s="171"/>
      <c r="DD62" s="123"/>
      <c r="DE62" s="171"/>
      <c r="DF62" s="171"/>
      <c r="DG62" s="171"/>
      <c r="DH62" s="171"/>
      <c r="DI62" s="171"/>
      <c r="DJ62" s="204"/>
      <c r="DK62" s="128"/>
      <c r="DL62" s="171"/>
      <c r="DM62" s="171"/>
      <c r="DN62" s="171"/>
      <c r="DO62" s="171"/>
      <c r="DP62" s="123"/>
      <c r="DQ62" s="171"/>
      <c r="DR62" s="171"/>
      <c r="DS62" s="171"/>
      <c r="DT62" s="171"/>
      <c r="DU62" s="171"/>
      <c r="DV62" s="204"/>
      <c r="DW62" s="128"/>
      <c r="DX62" s="171"/>
      <c r="DY62" s="171"/>
      <c r="DZ62" s="171"/>
      <c r="EA62" s="171"/>
      <c r="EB62" s="123"/>
      <c r="EC62" s="128"/>
      <c r="ED62" s="171"/>
      <c r="EE62" s="171"/>
      <c r="EF62" s="171"/>
      <c r="EG62" s="171"/>
      <c r="EH62" s="123"/>
      <c r="EI62" s="128"/>
      <c r="EJ62" s="171"/>
      <c r="EK62" s="171"/>
      <c r="EL62" s="171"/>
      <c r="EM62" s="171"/>
      <c r="EN62" s="123"/>
      <c r="EO62" s="128"/>
      <c r="EP62" s="171"/>
      <c r="EQ62" s="171"/>
      <c r="ER62" s="171"/>
      <c r="ES62" s="171"/>
      <c r="ET62" s="123"/>
      <c r="EU62" s="204"/>
      <c r="EV62" s="204"/>
      <c r="EW62" s="204"/>
      <c r="EX62" s="204"/>
      <c r="EY62" s="204"/>
      <c r="EZ62" s="204"/>
      <c r="FA62" s="171">
        <f t="shared" si="53"/>
        <v>779</v>
      </c>
      <c r="FB62" s="143">
        <f t="shared" si="51"/>
        <v>1910</v>
      </c>
      <c r="FC62" s="143"/>
      <c r="FD62" s="97">
        <v>215</v>
      </c>
      <c r="FE62" s="143">
        <f t="shared" si="54"/>
        <v>211</v>
      </c>
      <c r="FF62" s="114">
        <f t="shared" si="60"/>
        <v>2689</v>
      </c>
      <c r="FG62" s="238"/>
      <c r="FI62" s="232">
        <v>24</v>
      </c>
      <c r="FJ62" s="232" t="s">
        <v>230</v>
      </c>
      <c r="FK62" s="232"/>
      <c r="FL62" s="232"/>
      <c r="FM62" s="232"/>
      <c r="FN62" s="232"/>
      <c r="FO62" s="232"/>
      <c r="FP62" s="232"/>
    </row>
    <row r="63" spans="1:172" x14ac:dyDescent="0.2">
      <c r="A63" s="66" t="s">
        <v>79</v>
      </c>
      <c r="B63" s="51"/>
      <c r="C63" s="36"/>
      <c r="D63" s="36"/>
      <c r="E63" s="36"/>
      <c r="F63" s="194"/>
      <c r="G63" s="51"/>
      <c r="H63" s="36"/>
      <c r="I63" s="36"/>
      <c r="J63" s="36"/>
      <c r="K63" s="194"/>
      <c r="L63" s="77"/>
      <c r="M63" s="36"/>
      <c r="N63" s="36"/>
      <c r="O63" s="36"/>
      <c r="P63" s="185"/>
      <c r="Q63" s="51"/>
      <c r="R63" s="36"/>
      <c r="S63" s="36"/>
      <c r="T63" s="36"/>
      <c r="U63" s="194"/>
      <c r="V63" s="128">
        <v>0</v>
      </c>
      <c r="W63" s="101">
        <v>133</v>
      </c>
      <c r="X63" s="101">
        <v>27</v>
      </c>
      <c r="Y63" s="101">
        <v>14</v>
      </c>
      <c r="Z63" s="109">
        <v>133</v>
      </c>
      <c r="AA63" s="171">
        <v>0</v>
      </c>
      <c r="AB63" s="101">
        <v>124</v>
      </c>
      <c r="AC63" s="101">
        <v>10</v>
      </c>
      <c r="AD63" s="101">
        <v>3</v>
      </c>
      <c r="AE63" s="164">
        <v>124</v>
      </c>
      <c r="AF63" s="128">
        <v>33</v>
      </c>
      <c r="AG63" s="101">
        <v>519</v>
      </c>
      <c r="AH63" s="101">
        <v>49</v>
      </c>
      <c r="AI63" s="101">
        <v>33</v>
      </c>
      <c r="AJ63" s="109">
        <v>552</v>
      </c>
      <c r="AK63" s="171">
        <v>22</v>
      </c>
      <c r="AL63" s="101">
        <v>191</v>
      </c>
      <c r="AM63" s="101">
        <v>31</v>
      </c>
      <c r="AN63" s="101">
        <v>18</v>
      </c>
      <c r="AO63" s="164">
        <v>213</v>
      </c>
      <c r="AP63" s="128">
        <v>0</v>
      </c>
      <c r="AQ63" s="101">
        <v>146</v>
      </c>
      <c r="AR63" s="101">
        <v>18</v>
      </c>
      <c r="AS63" s="101">
        <v>6</v>
      </c>
      <c r="AT63" s="109">
        <v>146</v>
      </c>
      <c r="AU63" s="171">
        <v>19</v>
      </c>
      <c r="AV63" s="101">
        <v>212</v>
      </c>
      <c r="AW63" s="101">
        <v>31</v>
      </c>
      <c r="AX63" s="101">
        <v>6</v>
      </c>
      <c r="AY63" s="164">
        <v>231</v>
      </c>
      <c r="AZ63" s="128">
        <v>22</v>
      </c>
      <c r="BA63" s="101">
        <v>236</v>
      </c>
      <c r="BB63" s="101">
        <v>49</v>
      </c>
      <c r="BC63" s="101">
        <v>7</v>
      </c>
      <c r="BD63" s="109">
        <v>258</v>
      </c>
      <c r="BE63" s="171">
        <v>0</v>
      </c>
      <c r="BF63" s="101">
        <v>158</v>
      </c>
      <c r="BG63" s="101">
        <v>20</v>
      </c>
      <c r="BH63" s="101">
        <v>4</v>
      </c>
      <c r="BI63" s="164">
        <v>158</v>
      </c>
      <c r="BJ63" s="128">
        <v>18</v>
      </c>
      <c r="BK63" s="101">
        <v>464</v>
      </c>
      <c r="BL63" s="101">
        <v>60</v>
      </c>
      <c r="BM63" s="101">
        <v>12</v>
      </c>
      <c r="BN63" s="109">
        <v>482</v>
      </c>
      <c r="BO63" s="171"/>
      <c r="BP63" s="101"/>
      <c r="BQ63" s="101"/>
      <c r="BR63" s="101"/>
      <c r="BS63" s="101"/>
      <c r="BT63" s="164"/>
      <c r="BU63" s="128"/>
      <c r="BV63" s="171"/>
      <c r="BW63" s="171"/>
      <c r="BX63" s="171"/>
      <c r="BY63" s="171"/>
      <c r="BZ63" s="123"/>
      <c r="CA63" s="128"/>
      <c r="CB63" s="171"/>
      <c r="CC63" s="171"/>
      <c r="CD63" s="171"/>
      <c r="CE63" s="171"/>
      <c r="CF63" s="204"/>
      <c r="CG63" s="128"/>
      <c r="CH63" s="171"/>
      <c r="CI63" s="171"/>
      <c r="CJ63" s="171"/>
      <c r="CK63" s="171"/>
      <c r="CL63" s="123"/>
      <c r="CM63" s="171"/>
      <c r="CN63" s="171"/>
      <c r="CO63" s="171"/>
      <c r="CP63" s="171"/>
      <c r="CQ63" s="171"/>
      <c r="CR63" s="204"/>
      <c r="CS63" s="128"/>
      <c r="CT63" s="171"/>
      <c r="CU63" s="171"/>
      <c r="CV63" s="171"/>
      <c r="CW63" s="171"/>
      <c r="CX63" s="123"/>
      <c r="CY63" s="128"/>
      <c r="CZ63" s="171"/>
      <c r="DA63" s="171"/>
      <c r="DB63" s="171"/>
      <c r="DC63" s="171"/>
      <c r="DD63" s="123"/>
      <c r="DE63" s="171"/>
      <c r="DF63" s="171"/>
      <c r="DG63" s="171"/>
      <c r="DH63" s="171"/>
      <c r="DI63" s="171"/>
      <c r="DJ63" s="204"/>
      <c r="DK63" s="128"/>
      <c r="DL63" s="171"/>
      <c r="DM63" s="171"/>
      <c r="DN63" s="171"/>
      <c r="DO63" s="171"/>
      <c r="DP63" s="123"/>
      <c r="DQ63" s="171"/>
      <c r="DR63" s="171"/>
      <c r="DS63" s="171"/>
      <c r="DT63" s="171"/>
      <c r="DU63" s="171"/>
      <c r="DV63" s="204"/>
      <c r="DW63" s="128"/>
      <c r="DX63" s="171"/>
      <c r="DY63" s="171"/>
      <c r="DZ63" s="171"/>
      <c r="EA63" s="171"/>
      <c r="EB63" s="123"/>
      <c r="EC63" s="128"/>
      <c r="ED63" s="171"/>
      <c r="EE63" s="171"/>
      <c r="EF63" s="171"/>
      <c r="EG63" s="171"/>
      <c r="EH63" s="123"/>
      <c r="EI63" s="128"/>
      <c r="EJ63" s="171"/>
      <c r="EK63" s="171"/>
      <c r="EL63" s="171"/>
      <c r="EM63" s="171"/>
      <c r="EN63" s="123"/>
      <c r="EO63" s="128"/>
      <c r="EP63" s="171"/>
      <c r="EQ63" s="171"/>
      <c r="ER63" s="171"/>
      <c r="ES63" s="171"/>
      <c r="ET63" s="123"/>
      <c r="EU63" s="204"/>
      <c r="EV63" s="204"/>
      <c r="EW63" s="204"/>
      <c r="EX63" s="204"/>
      <c r="EY63" s="204"/>
      <c r="EZ63" s="204"/>
      <c r="FA63" s="171">
        <f t="shared" si="53"/>
        <v>114</v>
      </c>
      <c r="FB63" s="143">
        <f t="shared" si="51"/>
        <v>2183</v>
      </c>
      <c r="FC63" s="143"/>
      <c r="FD63" s="97">
        <f>SUM(FF62-FE62-FB63)</f>
        <v>295</v>
      </c>
      <c r="FE63" s="143">
        <f t="shared" si="54"/>
        <v>103</v>
      </c>
      <c r="FF63" s="114">
        <f t="shared" si="60"/>
        <v>2297</v>
      </c>
      <c r="FG63" s="238"/>
      <c r="FI63" s="232"/>
      <c r="FJ63" s="232"/>
      <c r="FK63" s="232"/>
      <c r="FL63" s="232"/>
      <c r="FM63" s="232"/>
      <c r="FN63" s="232"/>
      <c r="FO63" s="232"/>
      <c r="FP63" s="232"/>
    </row>
    <row r="64" spans="1:172" x14ac:dyDescent="0.2">
      <c r="A64" s="43" t="s">
        <v>80</v>
      </c>
      <c r="B64" s="21"/>
      <c r="C64" s="4"/>
      <c r="D64" s="4"/>
      <c r="E64" s="4"/>
      <c r="F64" s="195"/>
      <c r="G64" s="21"/>
      <c r="H64" s="4"/>
      <c r="I64" s="4"/>
      <c r="J64" s="4"/>
      <c r="K64" s="195"/>
      <c r="L64" s="193"/>
      <c r="M64" s="4"/>
      <c r="N64" s="4"/>
      <c r="O64" s="4"/>
      <c r="P64" s="186"/>
      <c r="Q64" s="21"/>
      <c r="R64" s="4"/>
      <c r="S64" s="4"/>
      <c r="T64" s="4"/>
      <c r="U64" s="195"/>
      <c r="V64" s="148">
        <v>38</v>
      </c>
      <c r="W64" s="100">
        <v>116</v>
      </c>
      <c r="X64" s="100">
        <v>3</v>
      </c>
      <c r="Y64" s="100">
        <v>14</v>
      </c>
      <c r="Z64" s="108">
        <v>154</v>
      </c>
      <c r="AA64" s="170">
        <v>46</v>
      </c>
      <c r="AB64" s="100">
        <v>118</v>
      </c>
      <c r="AC64" s="100">
        <v>3</v>
      </c>
      <c r="AD64" s="100">
        <v>3</v>
      </c>
      <c r="AE64" s="163">
        <v>164</v>
      </c>
      <c r="AF64" s="148">
        <v>156</v>
      </c>
      <c r="AG64" s="100">
        <v>467</v>
      </c>
      <c r="AH64" s="100">
        <v>52</v>
      </c>
      <c r="AI64" s="100">
        <v>39</v>
      </c>
      <c r="AJ64" s="108">
        <v>623</v>
      </c>
      <c r="AK64" s="170">
        <v>79</v>
      </c>
      <c r="AL64" s="100">
        <v>178</v>
      </c>
      <c r="AM64" s="100">
        <v>17</v>
      </c>
      <c r="AN64" s="100">
        <v>26</v>
      </c>
      <c r="AO64" s="163">
        <v>257</v>
      </c>
      <c r="AP64" s="148">
        <v>41</v>
      </c>
      <c r="AQ64" s="100">
        <v>129</v>
      </c>
      <c r="AR64" s="100">
        <v>11</v>
      </c>
      <c r="AS64" s="100">
        <v>22</v>
      </c>
      <c r="AT64" s="108">
        <v>170</v>
      </c>
      <c r="AU64" s="170">
        <v>46</v>
      </c>
      <c r="AV64" s="101">
        <v>206</v>
      </c>
      <c r="AW64" s="100">
        <v>19</v>
      </c>
      <c r="AX64" s="100">
        <v>34</v>
      </c>
      <c r="AY64" s="163">
        <v>252</v>
      </c>
      <c r="AZ64" s="148">
        <v>127</v>
      </c>
      <c r="BA64" s="101">
        <v>212</v>
      </c>
      <c r="BB64" s="100">
        <v>39</v>
      </c>
      <c r="BC64" s="100">
        <v>24</v>
      </c>
      <c r="BD64" s="108">
        <v>339</v>
      </c>
      <c r="BE64" s="170">
        <v>77</v>
      </c>
      <c r="BF64" s="100">
        <v>149</v>
      </c>
      <c r="BG64" s="100">
        <v>5</v>
      </c>
      <c r="BH64" s="100">
        <v>6</v>
      </c>
      <c r="BI64" s="163">
        <v>226</v>
      </c>
      <c r="BJ64" s="148">
        <v>114</v>
      </c>
      <c r="BK64" s="100">
        <v>430</v>
      </c>
      <c r="BL64" s="100">
        <v>40</v>
      </c>
      <c r="BM64" s="100">
        <v>38</v>
      </c>
      <c r="BN64" s="108">
        <v>544</v>
      </c>
      <c r="BO64" s="170"/>
      <c r="BP64" s="100"/>
      <c r="BQ64" s="100"/>
      <c r="BR64" s="100"/>
      <c r="BS64" s="100"/>
      <c r="BT64" s="163"/>
      <c r="BU64" s="148"/>
      <c r="BV64" s="170"/>
      <c r="BW64" s="170"/>
      <c r="BX64" s="170"/>
      <c r="BY64" s="170"/>
      <c r="BZ64" s="121"/>
      <c r="CA64" s="148"/>
      <c r="CB64" s="170"/>
      <c r="CC64" s="170"/>
      <c r="CD64" s="170"/>
      <c r="CE64" s="170"/>
      <c r="CF64" s="203"/>
      <c r="CG64" s="148"/>
      <c r="CH64" s="170"/>
      <c r="CI64" s="170"/>
      <c r="CJ64" s="170"/>
      <c r="CK64" s="170"/>
      <c r="CL64" s="121"/>
      <c r="CM64" s="170"/>
      <c r="CN64" s="170"/>
      <c r="CO64" s="170"/>
      <c r="CP64" s="170"/>
      <c r="CQ64" s="170"/>
      <c r="CR64" s="203"/>
      <c r="CS64" s="148"/>
      <c r="CT64" s="170"/>
      <c r="CU64" s="170"/>
      <c r="CV64" s="170"/>
      <c r="CW64" s="170"/>
      <c r="CX64" s="121"/>
      <c r="CY64" s="148"/>
      <c r="CZ64" s="170"/>
      <c r="DA64" s="170"/>
      <c r="DB64" s="170"/>
      <c r="DC64" s="170"/>
      <c r="DD64" s="121"/>
      <c r="DE64" s="170"/>
      <c r="DF64" s="170"/>
      <c r="DG64" s="170"/>
      <c r="DH64" s="170"/>
      <c r="DI64" s="170"/>
      <c r="DJ64" s="203"/>
      <c r="DK64" s="148"/>
      <c r="DL64" s="170"/>
      <c r="DM64" s="170"/>
      <c r="DN64" s="170"/>
      <c r="DO64" s="170"/>
      <c r="DP64" s="121"/>
      <c r="DQ64" s="170"/>
      <c r="DR64" s="170"/>
      <c r="DS64" s="170"/>
      <c r="DT64" s="170"/>
      <c r="DU64" s="170"/>
      <c r="DV64" s="203"/>
      <c r="DW64" s="148"/>
      <c r="DX64" s="170"/>
      <c r="DY64" s="170"/>
      <c r="DZ64" s="170"/>
      <c r="EA64" s="170"/>
      <c r="EB64" s="121"/>
      <c r="EC64" s="148"/>
      <c r="ED64" s="170"/>
      <c r="EE64" s="170"/>
      <c r="EF64" s="170"/>
      <c r="EG64" s="170"/>
      <c r="EH64" s="121"/>
      <c r="EI64" s="148"/>
      <c r="EJ64" s="170"/>
      <c r="EK64" s="170"/>
      <c r="EL64" s="170"/>
      <c r="EM64" s="170"/>
      <c r="EN64" s="121"/>
      <c r="EO64" s="148"/>
      <c r="EP64" s="170"/>
      <c r="EQ64" s="170"/>
      <c r="ER64" s="170"/>
      <c r="ES64" s="170"/>
      <c r="ET64" s="121"/>
      <c r="EU64" s="203"/>
      <c r="EV64" s="203"/>
      <c r="EW64" s="203"/>
      <c r="EX64" s="203"/>
      <c r="EY64" s="203"/>
      <c r="EZ64" s="203"/>
      <c r="FA64" s="171">
        <f t="shared" si="53"/>
        <v>724</v>
      </c>
      <c r="FB64" s="143">
        <f t="shared" si="51"/>
        <v>2005</v>
      </c>
      <c r="FC64" s="143"/>
      <c r="FD64" s="97">
        <f>SUM(FF63-FE63-FB64)</f>
        <v>189</v>
      </c>
      <c r="FE64" s="143">
        <f t="shared" si="54"/>
        <v>206</v>
      </c>
      <c r="FF64" s="114">
        <f t="shared" si="60"/>
        <v>2729</v>
      </c>
      <c r="FG64" s="239"/>
      <c r="FI64" s="255">
        <v>33</v>
      </c>
      <c r="FJ64" s="255" t="s">
        <v>230</v>
      </c>
      <c r="FK64" s="232"/>
      <c r="FL64" s="232"/>
      <c r="FM64" s="232"/>
      <c r="FN64" s="232"/>
      <c r="FO64" s="232"/>
      <c r="FP64" s="232"/>
    </row>
    <row r="65" spans="1:198" x14ac:dyDescent="0.2">
      <c r="A65" s="66" t="s">
        <v>81</v>
      </c>
      <c r="B65" s="51"/>
      <c r="C65" s="36"/>
      <c r="D65" s="36"/>
      <c r="E65" s="36"/>
      <c r="F65" s="194"/>
      <c r="G65" s="51"/>
      <c r="H65" s="36"/>
      <c r="I65" s="36"/>
      <c r="J65" s="36"/>
      <c r="K65" s="194"/>
      <c r="L65" s="77"/>
      <c r="M65" s="36"/>
      <c r="N65" s="36"/>
      <c r="O65" s="36"/>
      <c r="P65" s="185"/>
      <c r="Q65" s="51"/>
      <c r="R65" s="36"/>
      <c r="S65" s="36"/>
      <c r="T65" s="36"/>
      <c r="U65" s="194"/>
      <c r="V65" s="128">
        <v>0</v>
      </c>
      <c r="W65" s="101">
        <v>120</v>
      </c>
      <c r="X65" s="101">
        <v>20</v>
      </c>
      <c r="Y65" s="101">
        <v>10</v>
      </c>
      <c r="Z65" s="109">
        <v>120</v>
      </c>
      <c r="AA65" s="171">
        <v>0</v>
      </c>
      <c r="AB65" s="101">
        <v>154</v>
      </c>
      <c r="AC65" s="101">
        <v>7</v>
      </c>
      <c r="AD65" s="101">
        <v>14</v>
      </c>
      <c r="AE65" s="164">
        <v>154</v>
      </c>
      <c r="AF65" s="128">
        <v>0</v>
      </c>
      <c r="AG65" s="101">
        <v>526</v>
      </c>
      <c r="AH65" s="101">
        <v>58</v>
      </c>
      <c r="AI65" s="101">
        <v>37</v>
      </c>
      <c r="AJ65" s="109">
        <v>526</v>
      </c>
      <c r="AK65" s="171">
        <v>0</v>
      </c>
      <c r="AL65" s="101">
        <v>210</v>
      </c>
      <c r="AM65" s="101">
        <v>21</v>
      </c>
      <c r="AN65" s="101">
        <v>3</v>
      </c>
      <c r="AO65" s="164">
        <v>210</v>
      </c>
      <c r="AP65" s="128">
        <v>0</v>
      </c>
      <c r="AQ65" s="101">
        <v>134</v>
      </c>
      <c r="AR65" s="101">
        <v>14</v>
      </c>
      <c r="AS65" s="101">
        <v>5</v>
      </c>
      <c r="AT65" s="109">
        <v>134</v>
      </c>
      <c r="AU65" s="171">
        <v>0</v>
      </c>
      <c r="AV65" s="101">
        <v>186</v>
      </c>
      <c r="AW65" s="101">
        <v>32</v>
      </c>
      <c r="AX65" s="101">
        <v>15</v>
      </c>
      <c r="AY65" s="164">
        <v>186</v>
      </c>
      <c r="AZ65" s="128">
        <v>0</v>
      </c>
      <c r="BA65" s="101">
        <v>224</v>
      </c>
      <c r="BB65" s="101">
        <v>91</v>
      </c>
      <c r="BC65" s="101">
        <v>17</v>
      </c>
      <c r="BD65" s="109">
        <v>224</v>
      </c>
      <c r="BE65" s="171">
        <v>0</v>
      </c>
      <c r="BF65" s="101">
        <v>176</v>
      </c>
      <c r="BG65" s="101">
        <v>44</v>
      </c>
      <c r="BH65" s="101">
        <v>12</v>
      </c>
      <c r="BI65" s="164">
        <v>176</v>
      </c>
      <c r="BJ65" s="128">
        <v>0</v>
      </c>
      <c r="BK65" s="101">
        <v>454</v>
      </c>
      <c r="BL65" s="101">
        <v>52</v>
      </c>
      <c r="BM65" s="101">
        <v>60</v>
      </c>
      <c r="BN65" s="109">
        <v>454</v>
      </c>
      <c r="BO65" s="171">
        <v>16</v>
      </c>
      <c r="BP65" s="101"/>
      <c r="BQ65" s="101"/>
      <c r="BR65" s="101"/>
      <c r="BS65" s="101">
        <v>0</v>
      </c>
      <c r="BT65" s="164">
        <v>16</v>
      </c>
      <c r="BU65" s="128">
        <v>8</v>
      </c>
      <c r="BV65" s="171"/>
      <c r="BW65" s="171"/>
      <c r="BX65" s="171"/>
      <c r="BY65" s="171">
        <v>0</v>
      </c>
      <c r="BZ65" s="123">
        <v>8</v>
      </c>
      <c r="CA65" s="128">
        <v>17</v>
      </c>
      <c r="CB65" s="171"/>
      <c r="CC65" s="171"/>
      <c r="CD65" s="171"/>
      <c r="CE65" s="171">
        <v>0</v>
      </c>
      <c r="CF65" s="204">
        <v>17</v>
      </c>
      <c r="CG65" s="128">
        <v>11</v>
      </c>
      <c r="CH65" s="171"/>
      <c r="CI65" s="171"/>
      <c r="CJ65" s="171"/>
      <c r="CK65" s="171">
        <v>0</v>
      </c>
      <c r="CL65" s="123">
        <v>11</v>
      </c>
      <c r="CM65" s="171">
        <v>9</v>
      </c>
      <c r="CN65" s="171"/>
      <c r="CO65" s="171"/>
      <c r="CP65" s="171"/>
      <c r="CQ65" s="171"/>
      <c r="CR65" s="204">
        <v>9</v>
      </c>
      <c r="CS65" s="128">
        <v>0</v>
      </c>
      <c r="CT65" s="171"/>
      <c r="CU65" s="171"/>
      <c r="CV65" s="171"/>
      <c r="CW65" s="171">
        <v>0</v>
      </c>
      <c r="CX65" s="123">
        <v>0</v>
      </c>
      <c r="CY65" s="128">
        <v>23</v>
      </c>
      <c r="CZ65" s="171"/>
      <c r="DA65" s="171"/>
      <c r="DB65" s="171"/>
      <c r="DC65" s="171">
        <v>0</v>
      </c>
      <c r="DD65" s="123">
        <v>23</v>
      </c>
      <c r="DE65" s="171">
        <v>31</v>
      </c>
      <c r="DF65" s="171"/>
      <c r="DG65" s="171"/>
      <c r="DH65" s="171"/>
      <c r="DI65" s="171">
        <v>0</v>
      </c>
      <c r="DJ65" s="204">
        <v>31</v>
      </c>
      <c r="DK65" s="128">
        <v>0</v>
      </c>
      <c r="DL65" s="171"/>
      <c r="DM65" s="171"/>
      <c r="DN65" s="171"/>
      <c r="DO65" s="171">
        <v>0</v>
      </c>
      <c r="DP65" s="123">
        <v>0</v>
      </c>
      <c r="DQ65" s="171">
        <v>11</v>
      </c>
      <c r="DR65" s="171"/>
      <c r="DS65" s="171"/>
      <c r="DT65" s="171"/>
      <c r="DU65" s="171">
        <v>0</v>
      </c>
      <c r="DV65" s="204">
        <v>11</v>
      </c>
      <c r="DW65" s="128">
        <v>25</v>
      </c>
      <c r="DX65" s="171"/>
      <c r="DY65" s="171"/>
      <c r="DZ65" s="171"/>
      <c r="EA65" s="171">
        <v>0</v>
      </c>
      <c r="EB65" s="123">
        <v>25</v>
      </c>
      <c r="EC65" s="128">
        <v>17</v>
      </c>
      <c r="ED65" s="171"/>
      <c r="EE65" s="171"/>
      <c r="EF65" s="171"/>
      <c r="EG65" s="171">
        <v>0</v>
      </c>
      <c r="EH65" s="123">
        <v>17</v>
      </c>
      <c r="EI65" s="128"/>
      <c r="EJ65" s="171"/>
      <c r="EK65" s="171"/>
      <c r="EL65" s="171"/>
      <c r="EM65" s="171"/>
      <c r="EN65" s="123"/>
      <c r="EO65" s="128"/>
      <c r="EP65" s="171"/>
      <c r="EQ65" s="171"/>
      <c r="ER65" s="171"/>
      <c r="ES65" s="171"/>
      <c r="ET65" s="123"/>
      <c r="EU65" s="204"/>
      <c r="EV65" s="204"/>
      <c r="EW65" s="204"/>
      <c r="EX65" s="204"/>
      <c r="EY65" s="204"/>
      <c r="EZ65" s="204"/>
      <c r="FA65" s="171">
        <f t="shared" ref="FA65:FA73" si="63">SUM(B65+G65+L65+Q65+V65+AA65+AF65+AK65+AP65+AU65+AZ65+BE65+BJ65+BO65+BU65+CA65+CG65+CM65+CS65+CY65+DE65+DK65+DQ65+DW65+EC65)</f>
        <v>168</v>
      </c>
      <c r="FB65" s="171">
        <f t="shared" ref="FB65:FB73" si="64">SUM(C65+H65+M65+R65+W65+AB65+AG65+AL65+AQ65+AV65+BA65+BF65+BK65+BP65+BV65+CB65+CH65+CN65+CT65+CZ65+DF65+DL65+DR65+DX65+ED65)</f>
        <v>2184</v>
      </c>
      <c r="FC65" s="171"/>
      <c r="FD65" s="171">
        <f t="shared" ref="FD65:FF71" si="65">SUM(D65+I65+N65+S65+X65+AC65+AH65+AM65+AR65+AW65+BB65+BG65+BL65+BR65+BX65+CD65+CJ65+CP65+CV65+DB65+DH65+DN65+DT65+DZ65+EF65)</f>
        <v>339</v>
      </c>
      <c r="FE65" s="171">
        <f t="shared" si="65"/>
        <v>173</v>
      </c>
      <c r="FF65" s="114">
        <f t="shared" si="65"/>
        <v>2352</v>
      </c>
      <c r="FG65" s="239"/>
    </row>
    <row r="66" spans="1:198" x14ac:dyDescent="0.2">
      <c r="A66" s="43" t="s">
        <v>82</v>
      </c>
      <c r="B66" s="51"/>
      <c r="C66" s="36"/>
      <c r="D66" s="36"/>
      <c r="E66" s="36"/>
      <c r="F66" s="194"/>
      <c r="G66" s="51"/>
      <c r="H66" s="36"/>
      <c r="I66" s="36"/>
      <c r="J66" s="36"/>
      <c r="K66" s="194"/>
      <c r="L66" s="77"/>
      <c r="M66" s="36"/>
      <c r="N66" s="36"/>
      <c r="O66" s="36"/>
      <c r="P66" s="185"/>
      <c r="Q66" s="51"/>
      <c r="R66" s="36"/>
      <c r="S66" s="36"/>
      <c r="T66" s="36"/>
      <c r="U66" s="194"/>
      <c r="V66" s="128">
        <v>0</v>
      </c>
      <c r="W66" s="101">
        <v>99</v>
      </c>
      <c r="X66" s="101">
        <v>11</v>
      </c>
      <c r="Y66" s="101">
        <v>9</v>
      </c>
      <c r="Z66" s="109">
        <v>99</v>
      </c>
      <c r="AA66" s="171">
        <v>0</v>
      </c>
      <c r="AB66" s="101">
        <v>131</v>
      </c>
      <c r="AC66" s="101">
        <v>9</v>
      </c>
      <c r="AD66" s="101">
        <v>18</v>
      </c>
      <c r="AE66" s="164">
        <v>131</v>
      </c>
      <c r="AF66" s="128">
        <v>0</v>
      </c>
      <c r="AG66" s="101">
        <v>439</v>
      </c>
      <c r="AH66" s="101">
        <v>50</v>
      </c>
      <c r="AI66" s="101">
        <v>36</v>
      </c>
      <c r="AJ66" s="109">
        <v>439</v>
      </c>
      <c r="AK66" s="171">
        <v>0</v>
      </c>
      <c r="AL66" s="101">
        <v>184</v>
      </c>
      <c r="AM66" s="101">
        <v>23</v>
      </c>
      <c r="AN66" s="101">
        <v>9</v>
      </c>
      <c r="AO66" s="164">
        <v>184</v>
      </c>
      <c r="AP66" s="128">
        <v>0</v>
      </c>
      <c r="AQ66" s="101">
        <v>122</v>
      </c>
      <c r="AR66" s="101">
        <v>7</v>
      </c>
      <c r="AS66" s="101">
        <v>7</v>
      </c>
      <c r="AT66" s="109">
        <v>122</v>
      </c>
      <c r="AU66" s="171">
        <v>0</v>
      </c>
      <c r="AV66" s="101">
        <v>156</v>
      </c>
      <c r="AW66" s="101">
        <v>15</v>
      </c>
      <c r="AX66" s="101">
        <v>33</v>
      </c>
      <c r="AY66" s="164">
        <v>156</v>
      </c>
      <c r="AZ66" s="128">
        <v>0</v>
      </c>
      <c r="BA66" s="101">
        <v>181</v>
      </c>
      <c r="BB66" s="101">
        <v>26</v>
      </c>
      <c r="BC66" s="101">
        <v>18</v>
      </c>
      <c r="BD66" s="109">
        <v>181</v>
      </c>
      <c r="BE66" s="171">
        <v>0</v>
      </c>
      <c r="BF66" s="101">
        <v>150</v>
      </c>
      <c r="BG66" s="101">
        <v>14</v>
      </c>
      <c r="BH66" s="101">
        <v>21</v>
      </c>
      <c r="BI66" s="164">
        <v>150</v>
      </c>
      <c r="BJ66" s="128">
        <v>0</v>
      </c>
      <c r="BK66" s="101">
        <v>359</v>
      </c>
      <c r="BL66" s="101">
        <v>35</v>
      </c>
      <c r="BM66" s="101">
        <v>30</v>
      </c>
      <c r="BN66" s="109">
        <v>359</v>
      </c>
      <c r="BO66" s="171">
        <v>30</v>
      </c>
      <c r="BP66" s="101">
        <v>13</v>
      </c>
      <c r="BQ66" s="101"/>
      <c r="BR66" s="101">
        <v>3</v>
      </c>
      <c r="BS66" s="101">
        <v>0</v>
      </c>
      <c r="BT66" s="164">
        <v>43</v>
      </c>
      <c r="BU66" s="128">
        <v>19</v>
      </c>
      <c r="BV66" s="171">
        <v>1</v>
      </c>
      <c r="BW66" s="171"/>
      <c r="BX66" s="171">
        <v>7</v>
      </c>
      <c r="BY66" s="171">
        <v>0</v>
      </c>
      <c r="BZ66" s="123">
        <v>20</v>
      </c>
      <c r="CA66" s="128">
        <v>31</v>
      </c>
      <c r="CB66" s="171">
        <v>7</v>
      </c>
      <c r="CC66" s="171"/>
      <c r="CD66" s="171">
        <v>10</v>
      </c>
      <c r="CE66" s="171">
        <v>0</v>
      </c>
      <c r="CF66" s="204">
        <v>38</v>
      </c>
      <c r="CG66" s="128">
        <v>36</v>
      </c>
      <c r="CH66" s="171">
        <v>6</v>
      </c>
      <c r="CI66" s="171"/>
      <c r="CJ66" s="171">
        <v>5</v>
      </c>
      <c r="CK66" s="171">
        <v>0</v>
      </c>
      <c r="CL66" s="123">
        <v>42</v>
      </c>
      <c r="CM66" s="171">
        <v>32</v>
      </c>
      <c r="CN66" s="171">
        <v>5</v>
      </c>
      <c r="CO66" s="171"/>
      <c r="CP66" s="171">
        <v>4</v>
      </c>
      <c r="CQ66" s="171">
        <v>0</v>
      </c>
      <c r="CR66" s="204">
        <v>37</v>
      </c>
      <c r="CS66" s="128">
        <v>11</v>
      </c>
      <c r="CT66" s="171">
        <v>0</v>
      </c>
      <c r="CU66" s="171"/>
      <c r="CV66" s="171">
        <v>0</v>
      </c>
      <c r="CW66" s="171">
        <v>0</v>
      </c>
      <c r="CX66" s="123">
        <v>11</v>
      </c>
      <c r="CY66" s="128">
        <v>85</v>
      </c>
      <c r="CZ66" s="171">
        <v>16</v>
      </c>
      <c r="DA66" s="171"/>
      <c r="DB66" s="171">
        <v>7</v>
      </c>
      <c r="DC66" s="171">
        <v>0</v>
      </c>
      <c r="DD66" s="123">
        <v>101</v>
      </c>
      <c r="DE66" s="171">
        <v>116</v>
      </c>
      <c r="DF66" s="171">
        <v>22</v>
      </c>
      <c r="DG66" s="171"/>
      <c r="DH66" s="171">
        <v>9</v>
      </c>
      <c r="DI66" s="171">
        <v>0</v>
      </c>
      <c r="DJ66" s="204">
        <v>138</v>
      </c>
      <c r="DK66" s="128">
        <v>20</v>
      </c>
      <c r="DL66" s="171">
        <v>0</v>
      </c>
      <c r="DM66" s="171"/>
      <c r="DN66" s="171">
        <v>0</v>
      </c>
      <c r="DO66" s="171">
        <v>0</v>
      </c>
      <c r="DP66" s="123">
        <v>20</v>
      </c>
      <c r="DQ66" s="171">
        <v>59</v>
      </c>
      <c r="DR66" s="171">
        <v>11</v>
      </c>
      <c r="DS66" s="171"/>
      <c r="DT66" s="171">
        <v>0</v>
      </c>
      <c r="DU66" s="171">
        <v>0</v>
      </c>
      <c r="DV66" s="204">
        <v>70</v>
      </c>
      <c r="DW66" s="128">
        <v>118</v>
      </c>
      <c r="DX66" s="171">
        <v>18</v>
      </c>
      <c r="DY66" s="171"/>
      <c r="DZ66" s="171">
        <v>7</v>
      </c>
      <c r="EA66" s="171">
        <v>0</v>
      </c>
      <c r="EB66" s="123">
        <v>136</v>
      </c>
      <c r="EC66" s="128">
        <v>43</v>
      </c>
      <c r="ED66" s="171">
        <v>15</v>
      </c>
      <c r="EE66" s="171"/>
      <c r="EF66" s="171">
        <v>2</v>
      </c>
      <c r="EG66" s="171">
        <v>0</v>
      </c>
      <c r="EH66" s="123">
        <v>58</v>
      </c>
      <c r="EI66" s="128"/>
      <c r="EJ66" s="171"/>
      <c r="EK66" s="171"/>
      <c r="EL66" s="171"/>
      <c r="EM66" s="171"/>
      <c r="EN66" s="123"/>
      <c r="EO66" s="128"/>
      <c r="EP66" s="171"/>
      <c r="EQ66" s="171"/>
      <c r="ER66" s="171"/>
      <c r="ES66" s="171"/>
      <c r="ET66" s="123"/>
      <c r="EU66" s="204"/>
      <c r="EV66" s="204"/>
      <c r="EW66" s="204"/>
      <c r="EX66" s="204"/>
      <c r="EY66" s="204"/>
      <c r="EZ66" s="204"/>
      <c r="FA66" s="171">
        <f t="shared" si="63"/>
        <v>600</v>
      </c>
      <c r="FB66" s="171">
        <f t="shared" si="64"/>
        <v>1935</v>
      </c>
      <c r="FC66" s="171"/>
      <c r="FD66" s="171">
        <f t="shared" si="65"/>
        <v>244</v>
      </c>
      <c r="FE66" s="171">
        <f t="shared" si="65"/>
        <v>181</v>
      </c>
      <c r="FF66" s="114">
        <f t="shared" si="65"/>
        <v>2535</v>
      </c>
      <c r="FG66" s="239" t="s">
        <v>164</v>
      </c>
      <c r="FI66" s="255">
        <v>26</v>
      </c>
      <c r="FJ66" s="255" t="s">
        <v>230</v>
      </c>
    </row>
    <row r="67" spans="1:198" x14ac:dyDescent="0.2">
      <c r="A67" s="66" t="s">
        <v>83</v>
      </c>
      <c r="B67" s="51"/>
      <c r="C67" s="36"/>
      <c r="D67" s="36"/>
      <c r="E67" s="36"/>
      <c r="F67" s="194"/>
      <c r="G67" s="51"/>
      <c r="H67" s="36"/>
      <c r="I67" s="36"/>
      <c r="J67" s="36"/>
      <c r="K67" s="194"/>
      <c r="L67" s="77"/>
      <c r="M67" s="36"/>
      <c r="N67" s="36"/>
      <c r="O67" s="36"/>
      <c r="P67" s="185"/>
      <c r="Q67" s="51"/>
      <c r="R67" s="36"/>
      <c r="S67" s="36"/>
      <c r="T67" s="36"/>
      <c r="U67" s="194"/>
      <c r="V67" s="128">
        <v>0</v>
      </c>
      <c r="W67" s="101">
        <v>77</v>
      </c>
      <c r="X67" s="101">
        <v>13</v>
      </c>
      <c r="Y67" s="101">
        <v>12</v>
      </c>
      <c r="Z67" s="109">
        <v>77</v>
      </c>
      <c r="AA67" s="171">
        <v>0</v>
      </c>
      <c r="AB67" s="101">
        <v>116</v>
      </c>
      <c r="AC67" s="231">
        <v>-3</v>
      </c>
      <c r="AD67" s="101">
        <v>9</v>
      </c>
      <c r="AE67" s="164">
        <v>116</v>
      </c>
      <c r="AF67" s="128">
        <v>0</v>
      </c>
      <c r="AG67" s="101">
        <v>380</v>
      </c>
      <c r="AH67" s="101">
        <v>23</v>
      </c>
      <c r="AI67" s="101">
        <v>38</v>
      </c>
      <c r="AJ67" s="109">
        <v>380</v>
      </c>
      <c r="AK67" s="171">
        <v>0</v>
      </c>
      <c r="AL67" s="101">
        <v>165</v>
      </c>
      <c r="AM67" s="101">
        <v>10</v>
      </c>
      <c r="AN67" s="101">
        <v>21</v>
      </c>
      <c r="AO67" s="164">
        <v>165</v>
      </c>
      <c r="AP67" s="128">
        <v>0</v>
      </c>
      <c r="AQ67" s="101">
        <v>113</v>
      </c>
      <c r="AR67" s="101">
        <v>2</v>
      </c>
      <c r="AS67" s="101">
        <v>10</v>
      </c>
      <c r="AT67" s="109">
        <v>113</v>
      </c>
      <c r="AU67" s="171">
        <v>0</v>
      </c>
      <c r="AV67" s="101">
        <v>120</v>
      </c>
      <c r="AW67" s="101">
        <v>3</v>
      </c>
      <c r="AX67" s="101">
        <v>8</v>
      </c>
      <c r="AY67" s="164">
        <v>120</v>
      </c>
      <c r="AZ67" s="128">
        <v>0</v>
      </c>
      <c r="BA67" s="101">
        <v>151</v>
      </c>
      <c r="BB67" s="101">
        <v>12</v>
      </c>
      <c r="BC67" s="101">
        <v>17</v>
      </c>
      <c r="BD67" s="109">
        <v>151</v>
      </c>
      <c r="BE67" s="171">
        <v>0</v>
      </c>
      <c r="BF67" s="101">
        <v>124</v>
      </c>
      <c r="BG67" s="101">
        <v>5</v>
      </c>
      <c r="BH67" s="101">
        <v>15</v>
      </c>
      <c r="BI67" s="164">
        <v>124</v>
      </c>
      <c r="BJ67" s="128">
        <v>0</v>
      </c>
      <c r="BK67" s="101">
        <v>301</v>
      </c>
      <c r="BL67" s="101">
        <v>28</v>
      </c>
      <c r="BM67" s="101">
        <v>47</v>
      </c>
      <c r="BN67" s="109">
        <v>301</v>
      </c>
      <c r="BO67" s="171">
        <v>10</v>
      </c>
      <c r="BP67" s="101">
        <v>39</v>
      </c>
      <c r="BQ67" s="101"/>
      <c r="BR67" s="101">
        <v>4</v>
      </c>
      <c r="BS67" s="101">
        <v>0</v>
      </c>
      <c r="BT67" s="164">
        <v>49</v>
      </c>
      <c r="BU67" s="128">
        <v>9</v>
      </c>
      <c r="BV67" s="171">
        <v>19</v>
      </c>
      <c r="BW67" s="171"/>
      <c r="BX67" s="171">
        <v>1</v>
      </c>
      <c r="BY67" s="171">
        <v>0</v>
      </c>
      <c r="BZ67" s="123">
        <v>28</v>
      </c>
      <c r="CA67" s="128">
        <v>21</v>
      </c>
      <c r="CB67" s="171">
        <v>32</v>
      </c>
      <c r="CC67" s="171"/>
      <c r="CD67" s="171">
        <v>6</v>
      </c>
      <c r="CE67" s="171">
        <v>0</v>
      </c>
      <c r="CF67" s="204">
        <v>53</v>
      </c>
      <c r="CG67" s="128">
        <v>16</v>
      </c>
      <c r="CH67" s="171">
        <v>38</v>
      </c>
      <c r="CI67" s="171"/>
      <c r="CJ67" s="171">
        <v>4</v>
      </c>
      <c r="CK67" s="171">
        <v>0</v>
      </c>
      <c r="CL67" s="123">
        <v>54</v>
      </c>
      <c r="CM67" s="171">
        <v>1</v>
      </c>
      <c r="CN67" s="171">
        <v>33</v>
      </c>
      <c r="CO67" s="171"/>
      <c r="CP67" s="171">
        <v>4</v>
      </c>
      <c r="CQ67" s="171">
        <v>0</v>
      </c>
      <c r="CR67" s="204">
        <v>34</v>
      </c>
      <c r="CS67" s="128">
        <v>12</v>
      </c>
      <c r="CT67" s="171">
        <v>11</v>
      </c>
      <c r="CU67" s="171"/>
      <c r="CV67" s="171">
        <v>0</v>
      </c>
      <c r="CW67" s="171">
        <v>0</v>
      </c>
      <c r="CX67" s="123">
        <v>23</v>
      </c>
      <c r="CY67" s="128">
        <v>40</v>
      </c>
      <c r="CZ67" s="171">
        <v>77</v>
      </c>
      <c r="DA67" s="171"/>
      <c r="DB67" s="171">
        <v>24</v>
      </c>
      <c r="DC67" s="171">
        <v>0</v>
      </c>
      <c r="DD67" s="123">
        <v>117</v>
      </c>
      <c r="DE67" s="171">
        <v>63</v>
      </c>
      <c r="DF67" s="171">
        <v>123</v>
      </c>
      <c r="DG67" s="171"/>
      <c r="DH67" s="171">
        <v>15</v>
      </c>
      <c r="DI67" s="171">
        <v>0</v>
      </c>
      <c r="DJ67" s="204">
        <v>186</v>
      </c>
      <c r="DK67" s="128">
        <v>7</v>
      </c>
      <c r="DL67" s="171">
        <v>14</v>
      </c>
      <c r="DM67" s="171"/>
      <c r="DN67" s="171">
        <v>6</v>
      </c>
      <c r="DO67" s="171">
        <v>0</v>
      </c>
      <c r="DP67" s="123">
        <v>21</v>
      </c>
      <c r="DQ67" s="171">
        <v>28</v>
      </c>
      <c r="DR67" s="171">
        <v>58</v>
      </c>
      <c r="DS67" s="171"/>
      <c r="DT67" s="171">
        <v>12</v>
      </c>
      <c r="DU67" s="171">
        <v>0</v>
      </c>
      <c r="DV67" s="204">
        <v>86</v>
      </c>
      <c r="DW67" s="128">
        <v>48</v>
      </c>
      <c r="DX67" s="171">
        <v>120</v>
      </c>
      <c r="DY67" s="171"/>
      <c r="DZ67" s="171">
        <v>16</v>
      </c>
      <c r="EA67" s="171">
        <v>0</v>
      </c>
      <c r="EB67" s="123">
        <v>168</v>
      </c>
      <c r="EC67" s="128">
        <v>15</v>
      </c>
      <c r="ED67" s="171">
        <v>49</v>
      </c>
      <c r="EE67" s="171"/>
      <c r="EF67" s="171">
        <v>9</v>
      </c>
      <c r="EG67" s="171">
        <v>0</v>
      </c>
      <c r="EH67" s="123">
        <v>64</v>
      </c>
      <c r="EI67" s="128"/>
      <c r="EJ67" s="171"/>
      <c r="EK67" s="171"/>
      <c r="EL67" s="171"/>
      <c r="EM67" s="171"/>
      <c r="EN67" s="123"/>
      <c r="EO67" s="128"/>
      <c r="EP67" s="171"/>
      <c r="EQ67" s="171"/>
      <c r="ER67" s="171"/>
      <c r="ES67" s="171"/>
      <c r="ET67" s="123"/>
      <c r="EU67" s="204"/>
      <c r="EV67" s="204"/>
      <c r="EW67" s="204"/>
      <c r="EX67" s="204"/>
      <c r="EY67" s="204"/>
      <c r="EZ67" s="204"/>
      <c r="FA67" s="171">
        <f t="shared" si="63"/>
        <v>270</v>
      </c>
      <c r="FB67" s="171">
        <f t="shared" si="64"/>
        <v>2160</v>
      </c>
      <c r="FC67" s="171"/>
      <c r="FD67" s="171">
        <f t="shared" si="65"/>
        <v>194</v>
      </c>
      <c r="FE67" s="171">
        <f t="shared" si="65"/>
        <v>177</v>
      </c>
      <c r="FF67" s="114">
        <f t="shared" si="65"/>
        <v>2430</v>
      </c>
      <c r="FG67" s="238" t="s">
        <v>163</v>
      </c>
      <c r="FI67" s="409" t="s">
        <v>249</v>
      </c>
      <c r="FJ67" s="232"/>
    </row>
    <row r="68" spans="1:198" x14ac:dyDescent="0.2">
      <c r="A68" s="43" t="s">
        <v>84</v>
      </c>
      <c r="B68" s="21"/>
      <c r="C68" s="4"/>
      <c r="D68" s="4"/>
      <c r="E68" s="4"/>
      <c r="F68" s="195"/>
      <c r="G68" s="21"/>
      <c r="H68" s="4"/>
      <c r="I68" s="4"/>
      <c r="J68" s="4"/>
      <c r="K68" s="195"/>
      <c r="L68" s="193"/>
      <c r="M68" s="4"/>
      <c r="N68" s="4"/>
      <c r="O68" s="4"/>
      <c r="P68" s="186"/>
      <c r="Q68" s="21"/>
      <c r="R68" s="4"/>
      <c r="S68" s="4"/>
      <c r="T68" s="4"/>
      <c r="U68" s="195"/>
      <c r="V68" s="148">
        <v>0</v>
      </c>
      <c r="W68" s="100">
        <v>65</v>
      </c>
      <c r="X68" s="100">
        <v>0</v>
      </c>
      <c r="Y68" s="100">
        <v>6</v>
      </c>
      <c r="Z68" s="108">
        <v>65</v>
      </c>
      <c r="AA68" s="170">
        <v>0</v>
      </c>
      <c r="AB68" s="100">
        <v>94</v>
      </c>
      <c r="AC68" s="100">
        <v>13</v>
      </c>
      <c r="AD68" s="100">
        <v>12</v>
      </c>
      <c r="AE68" s="163">
        <v>94</v>
      </c>
      <c r="AF68" s="148">
        <v>0</v>
      </c>
      <c r="AG68" s="100">
        <v>319</v>
      </c>
      <c r="AH68" s="100">
        <v>23</v>
      </c>
      <c r="AI68" s="100">
        <v>49</v>
      </c>
      <c r="AJ68" s="108">
        <v>319</v>
      </c>
      <c r="AK68" s="170">
        <v>0</v>
      </c>
      <c r="AL68" s="100">
        <v>125</v>
      </c>
      <c r="AM68" s="100">
        <v>19</v>
      </c>
      <c r="AN68" s="100">
        <v>20</v>
      </c>
      <c r="AO68" s="163">
        <v>125</v>
      </c>
      <c r="AP68" s="148">
        <v>0</v>
      </c>
      <c r="AQ68" s="100">
        <v>92</v>
      </c>
      <c r="AR68" s="100">
        <v>11</v>
      </c>
      <c r="AS68" s="100">
        <v>7</v>
      </c>
      <c r="AT68" s="108">
        <v>92</v>
      </c>
      <c r="AU68" s="170">
        <v>0</v>
      </c>
      <c r="AV68" s="101">
        <v>103</v>
      </c>
      <c r="AW68" s="100">
        <v>9</v>
      </c>
      <c r="AX68" s="100">
        <v>26</v>
      </c>
      <c r="AY68" s="163">
        <v>103</v>
      </c>
      <c r="AZ68" s="148">
        <v>0</v>
      </c>
      <c r="BA68" s="101">
        <v>131</v>
      </c>
      <c r="BB68" s="100">
        <v>3</v>
      </c>
      <c r="BC68" s="100">
        <v>16</v>
      </c>
      <c r="BD68" s="108">
        <v>131</v>
      </c>
      <c r="BE68" s="170">
        <v>0</v>
      </c>
      <c r="BF68" s="100">
        <v>107</v>
      </c>
      <c r="BG68" s="100">
        <v>2</v>
      </c>
      <c r="BH68" s="100">
        <v>13</v>
      </c>
      <c r="BI68" s="163">
        <v>107</v>
      </c>
      <c r="BJ68" s="148">
        <v>0</v>
      </c>
      <c r="BK68" s="100">
        <v>248</v>
      </c>
      <c r="BL68" s="100">
        <v>6</v>
      </c>
      <c r="BM68" s="100">
        <v>31</v>
      </c>
      <c r="BN68" s="108">
        <v>248</v>
      </c>
      <c r="BO68" s="170">
        <v>55</v>
      </c>
      <c r="BP68" s="100">
        <v>45</v>
      </c>
      <c r="BQ68" s="100"/>
      <c r="BR68" s="100">
        <v>4</v>
      </c>
      <c r="BS68" s="100">
        <v>0</v>
      </c>
      <c r="BT68" s="163">
        <v>100</v>
      </c>
      <c r="BU68" s="148">
        <v>26</v>
      </c>
      <c r="BV68" s="170">
        <v>24</v>
      </c>
      <c r="BW68" s="170"/>
      <c r="BX68" s="170">
        <v>4</v>
      </c>
      <c r="BY68" s="170">
        <v>0</v>
      </c>
      <c r="BZ68" s="121">
        <v>50</v>
      </c>
      <c r="CA68" s="148">
        <v>56</v>
      </c>
      <c r="CB68" s="170">
        <v>38</v>
      </c>
      <c r="CC68" s="170"/>
      <c r="CD68" s="170">
        <v>15</v>
      </c>
      <c r="CE68" s="170">
        <v>0</v>
      </c>
      <c r="CF68" s="203">
        <v>94</v>
      </c>
      <c r="CG68" s="148">
        <v>44</v>
      </c>
      <c r="CH68" s="170">
        <v>44</v>
      </c>
      <c r="CI68" s="170"/>
      <c r="CJ68" s="170">
        <v>10</v>
      </c>
      <c r="CK68" s="170">
        <v>0</v>
      </c>
      <c r="CL68" s="121">
        <v>88</v>
      </c>
      <c r="CM68" s="170">
        <v>42</v>
      </c>
      <c r="CN68" s="170">
        <v>32</v>
      </c>
      <c r="CO68" s="170"/>
      <c r="CP68" s="170">
        <v>2</v>
      </c>
      <c r="CQ68" s="170">
        <v>0</v>
      </c>
      <c r="CR68" s="203">
        <v>74</v>
      </c>
      <c r="CS68" s="148">
        <v>34</v>
      </c>
      <c r="CT68" s="170">
        <v>19</v>
      </c>
      <c r="CU68" s="170"/>
      <c r="CV68" s="170">
        <v>4</v>
      </c>
      <c r="CW68" s="170">
        <v>0</v>
      </c>
      <c r="CX68" s="121">
        <v>53</v>
      </c>
      <c r="CY68" s="148">
        <v>111</v>
      </c>
      <c r="CZ68" s="170">
        <v>87</v>
      </c>
      <c r="DA68" s="170"/>
      <c r="DB68" s="170">
        <v>30</v>
      </c>
      <c r="DC68" s="170">
        <v>0</v>
      </c>
      <c r="DD68" s="121">
        <v>198</v>
      </c>
      <c r="DE68" s="170">
        <v>195</v>
      </c>
      <c r="DF68" s="170">
        <v>185</v>
      </c>
      <c r="DG68" s="170"/>
      <c r="DH68" s="170">
        <v>1</v>
      </c>
      <c r="DI68" s="170">
        <v>0</v>
      </c>
      <c r="DJ68" s="203">
        <v>380</v>
      </c>
      <c r="DK68" s="148">
        <v>36</v>
      </c>
      <c r="DL68" s="170">
        <v>18</v>
      </c>
      <c r="DM68" s="170"/>
      <c r="DN68" s="170">
        <v>3</v>
      </c>
      <c r="DO68" s="170">
        <v>0</v>
      </c>
      <c r="DP68" s="121">
        <v>54</v>
      </c>
      <c r="DQ68" s="170">
        <v>93</v>
      </c>
      <c r="DR68" s="170">
        <v>68</v>
      </c>
      <c r="DS68" s="170"/>
      <c r="DT68" s="170">
        <v>18</v>
      </c>
      <c r="DU68" s="170">
        <v>0</v>
      </c>
      <c r="DV68" s="203">
        <v>161</v>
      </c>
      <c r="DW68" s="148">
        <v>164</v>
      </c>
      <c r="DX68" s="170">
        <v>150</v>
      </c>
      <c r="DY68" s="170"/>
      <c r="DZ68" s="170">
        <v>18</v>
      </c>
      <c r="EA68" s="170">
        <v>0</v>
      </c>
      <c r="EB68" s="121">
        <v>314</v>
      </c>
      <c r="EC68" s="148">
        <v>66</v>
      </c>
      <c r="ED68" s="170">
        <v>46</v>
      </c>
      <c r="EE68" s="170"/>
      <c r="EF68" s="170">
        <v>18</v>
      </c>
      <c r="EG68" s="170">
        <v>0</v>
      </c>
      <c r="EH68" s="121">
        <v>112</v>
      </c>
      <c r="EI68" s="148"/>
      <c r="EJ68" s="170"/>
      <c r="EK68" s="170"/>
      <c r="EL68" s="170"/>
      <c r="EM68" s="170"/>
      <c r="EN68" s="121"/>
      <c r="EO68" s="148"/>
      <c r="EP68" s="170"/>
      <c r="EQ68" s="170"/>
      <c r="ER68" s="170"/>
      <c r="ES68" s="170"/>
      <c r="ET68" s="121"/>
      <c r="EU68" s="203"/>
      <c r="EV68" s="203"/>
      <c r="EW68" s="203"/>
      <c r="EX68" s="203"/>
      <c r="EY68" s="203"/>
      <c r="EZ68" s="203"/>
      <c r="FA68" s="171">
        <f t="shared" si="63"/>
        <v>922</v>
      </c>
      <c r="FB68" s="143">
        <f t="shared" si="64"/>
        <v>2040</v>
      </c>
      <c r="FC68" s="143"/>
      <c r="FD68" s="97">
        <f t="shared" si="65"/>
        <v>213</v>
      </c>
      <c r="FE68" s="143">
        <f t="shared" si="65"/>
        <v>180</v>
      </c>
      <c r="FF68" s="114">
        <f t="shared" si="65"/>
        <v>2962</v>
      </c>
      <c r="FG68" s="315" t="s">
        <v>162</v>
      </c>
      <c r="FI68" s="255">
        <v>24</v>
      </c>
      <c r="FJ68" s="255" t="s">
        <v>230</v>
      </c>
      <c r="FK68" s="232"/>
      <c r="FL68" s="232"/>
      <c r="FM68" s="232"/>
      <c r="FN68" s="232"/>
      <c r="FO68" s="232"/>
      <c r="FP68" s="232"/>
    </row>
    <row r="69" spans="1:198" x14ac:dyDescent="0.2">
      <c r="A69" s="43" t="s">
        <v>85</v>
      </c>
      <c r="B69" s="21"/>
      <c r="C69" s="4"/>
      <c r="D69" s="4"/>
      <c r="E69" s="4"/>
      <c r="F69" s="195"/>
      <c r="G69" s="21"/>
      <c r="H69" s="4"/>
      <c r="I69" s="4"/>
      <c r="J69" s="4"/>
      <c r="K69" s="195"/>
      <c r="L69" s="193"/>
      <c r="M69" s="4"/>
      <c r="N69" s="4"/>
      <c r="O69" s="4"/>
      <c r="P69" s="186"/>
      <c r="Q69" s="21"/>
      <c r="R69" s="4"/>
      <c r="S69" s="4"/>
      <c r="T69" s="4"/>
      <c r="U69" s="195"/>
      <c r="V69" s="148">
        <v>0</v>
      </c>
      <c r="W69" s="100">
        <v>48</v>
      </c>
      <c r="X69" s="100">
        <v>11</v>
      </c>
      <c r="Y69" s="100">
        <v>7</v>
      </c>
      <c r="Z69" s="108">
        <v>48</v>
      </c>
      <c r="AA69" s="170">
        <v>0</v>
      </c>
      <c r="AB69" s="100">
        <v>80</v>
      </c>
      <c r="AC69" s="100">
        <v>2</v>
      </c>
      <c r="AD69" s="100">
        <v>4</v>
      </c>
      <c r="AE69" s="163">
        <v>80</v>
      </c>
      <c r="AF69" s="148">
        <v>0</v>
      </c>
      <c r="AG69" s="100">
        <v>257</v>
      </c>
      <c r="AH69" s="100">
        <v>13</v>
      </c>
      <c r="AI69" s="100">
        <v>34</v>
      </c>
      <c r="AJ69" s="108">
        <v>257</v>
      </c>
      <c r="AK69" s="170">
        <v>0</v>
      </c>
      <c r="AL69" s="100">
        <v>104</v>
      </c>
      <c r="AM69" s="100">
        <v>1</v>
      </c>
      <c r="AN69" s="100">
        <v>14</v>
      </c>
      <c r="AO69" s="163">
        <v>104</v>
      </c>
      <c r="AP69" s="148">
        <v>0</v>
      </c>
      <c r="AQ69" s="100">
        <v>80</v>
      </c>
      <c r="AR69" s="100">
        <v>5</v>
      </c>
      <c r="AS69" s="100">
        <v>6</v>
      </c>
      <c r="AT69" s="108">
        <v>80</v>
      </c>
      <c r="AU69" s="170">
        <v>0</v>
      </c>
      <c r="AV69" s="101">
        <v>72</v>
      </c>
      <c r="AW69" s="100">
        <v>5</v>
      </c>
      <c r="AX69" s="100">
        <v>13</v>
      </c>
      <c r="AY69" s="163">
        <v>72</v>
      </c>
      <c r="AZ69" s="148">
        <v>0</v>
      </c>
      <c r="BA69" s="101">
        <v>108</v>
      </c>
      <c r="BB69" s="100">
        <v>7</v>
      </c>
      <c r="BC69" s="100">
        <v>14</v>
      </c>
      <c r="BD69" s="108">
        <v>108</v>
      </c>
      <c r="BE69" s="170">
        <v>0</v>
      </c>
      <c r="BF69" s="100">
        <v>92</v>
      </c>
      <c r="BG69" s="100">
        <v>2</v>
      </c>
      <c r="BH69" s="100">
        <v>10</v>
      </c>
      <c r="BI69" s="163">
        <v>92</v>
      </c>
      <c r="BJ69" s="148">
        <v>0</v>
      </c>
      <c r="BK69" s="100">
        <v>198</v>
      </c>
      <c r="BL69" s="100">
        <v>19</v>
      </c>
      <c r="BM69" s="100">
        <v>23</v>
      </c>
      <c r="BN69" s="108">
        <v>198</v>
      </c>
      <c r="BO69" s="170">
        <v>0</v>
      </c>
      <c r="BP69" s="100">
        <v>88</v>
      </c>
      <c r="BQ69" s="100"/>
      <c r="BR69" s="100">
        <v>12</v>
      </c>
      <c r="BS69" s="100">
        <v>0</v>
      </c>
      <c r="BT69" s="163">
        <v>88</v>
      </c>
      <c r="BU69" s="148">
        <v>0</v>
      </c>
      <c r="BV69" s="170">
        <v>32</v>
      </c>
      <c r="BW69" s="170"/>
      <c r="BX69" s="170">
        <v>18</v>
      </c>
      <c r="BY69" s="170">
        <v>0</v>
      </c>
      <c r="BZ69" s="121">
        <v>32</v>
      </c>
      <c r="CA69" s="148">
        <v>20</v>
      </c>
      <c r="CB69" s="170">
        <v>73</v>
      </c>
      <c r="CC69" s="170"/>
      <c r="CD69" s="170">
        <v>21</v>
      </c>
      <c r="CE69" s="170">
        <v>0</v>
      </c>
      <c r="CF69" s="203">
        <v>93</v>
      </c>
      <c r="CG69" s="148">
        <v>1</v>
      </c>
      <c r="CH69" s="170">
        <v>78</v>
      </c>
      <c r="CI69" s="170"/>
      <c r="CJ69" s="170">
        <v>10</v>
      </c>
      <c r="CK69" s="170">
        <v>0</v>
      </c>
      <c r="CL69" s="121">
        <v>79</v>
      </c>
      <c r="CM69" s="170">
        <v>0</v>
      </c>
      <c r="CN69" s="170">
        <v>65</v>
      </c>
      <c r="CO69" s="170"/>
      <c r="CP69" s="170">
        <v>9</v>
      </c>
      <c r="CQ69" s="170">
        <v>0</v>
      </c>
      <c r="CR69" s="203">
        <v>65</v>
      </c>
      <c r="CS69" s="148">
        <v>0</v>
      </c>
      <c r="CT69" s="170">
        <v>43</v>
      </c>
      <c r="CU69" s="170"/>
      <c r="CV69" s="170">
        <v>10</v>
      </c>
      <c r="CW69" s="170">
        <v>0</v>
      </c>
      <c r="CX69" s="121">
        <v>43</v>
      </c>
      <c r="CY69" s="148">
        <v>31</v>
      </c>
      <c r="CZ69" s="170">
        <v>163</v>
      </c>
      <c r="DA69" s="170"/>
      <c r="DB69" s="170">
        <v>35</v>
      </c>
      <c r="DC69" s="170">
        <v>0</v>
      </c>
      <c r="DD69" s="121">
        <v>194</v>
      </c>
      <c r="DE69" s="170">
        <v>61</v>
      </c>
      <c r="DF69" s="170">
        <v>337</v>
      </c>
      <c r="DG69" s="170"/>
      <c r="DH69" s="170">
        <v>43</v>
      </c>
      <c r="DI69" s="170">
        <v>0</v>
      </c>
      <c r="DJ69" s="203">
        <v>398</v>
      </c>
      <c r="DK69" s="148">
        <v>0</v>
      </c>
      <c r="DL69" s="170">
        <v>40</v>
      </c>
      <c r="DM69" s="170"/>
      <c r="DN69" s="170">
        <v>14</v>
      </c>
      <c r="DO69" s="170">
        <v>0</v>
      </c>
      <c r="DP69" s="121">
        <v>40</v>
      </c>
      <c r="DQ69" s="170">
        <v>0</v>
      </c>
      <c r="DR69" s="170">
        <v>147</v>
      </c>
      <c r="DS69" s="170"/>
      <c r="DT69" s="170">
        <v>14</v>
      </c>
      <c r="DU69" s="170">
        <v>0</v>
      </c>
      <c r="DV69" s="203">
        <v>147</v>
      </c>
      <c r="DW69" s="148">
        <v>41</v>
      </c>
      <c r="DX69" s="170">
        <v>278</v>
      </c>
      <c r="DY69" s="170"/>
      <c r="DZ69" s="170">
        <v>36</v>
      </c>
      <c r="EA69" s="170">
        <v>0</v>
      </c>
      <c r="EB69" s="121">
        <v>319</v>
      </c>
      <c r="EC69" s="148">
        <v>0</v>
      </c>
      <c r="ED69" s="170">
        <v>83</v>
      </c>
      <c r="EE69" s="170"/>
      <c r="EF69" s="170">
        <v>29</v>
      </c>
      <c r="EG69" s="170">
        <v>0</v>
      </c>
      <c r="EH69" s="121">
        <v>83</v>
      </c>
      <c r="EI69" s="148"/>
      <c r="EJ69" s="170"/>
      <c r="EK69" s="170"/>
      <c r="EL69" s="170"/>
      <c r="EM69" s="170"/>
      <c r="EN69" s="121"/>
      <c r="EO69" s="148"/>
      <c r="EP69" s="170"/>
      <c r="EQ69" s="170"/>
      <c r="ER69" s="170"/>
      <c r="ES69" s="170"/>
      <c r="ET69" s="121"/>
      <c r="EU69" s="203"/>
      <c r="EV69" s="203"/>
      <c r="EW69" s="203"/>
      <c r="EX69" s="203"/>
      <c r="EY69" s="203"/>
      <c r="EZ69" s="203"/>
      <c r="FA69" s="171">
        <f t="shared" si="63"/>
        <v>154</v>
      </c>
      <c r="FB69" s="143">
        <f t="shared" si="64"/>
        <v>2466</v>
      </c>
      <c r="FC69" s="143"/>
      <c r="FD69" s="97">
        <f t="shared" si="65"/>
        <v>316</v>
      </c>
      <c r="FE69" s="143">
        <f t="shared" si="65"/>
        <v>125</v>
      </c>
      <c r="FF69" s="114">
        <f t="shared" si="65"/>
        <v>2620</v>
      </c>
      <c r="FG69" s="239" t="s">
        <v>123</v>
      </c>
      <c r="FH69" s="43" t="s">
        <v>85</v>
      </c>
      <c r="FK69" s="232"/>
      <c r="FL69" s="232"/>
      <c r="FM69" s="232"/>
      <c r="FN69" s="232"/>
      <c r="FO69" s="232"/>
      <c r="FP69" s="232"/>
    </row>
    <row r="70" spans="1:198" x14ac:dyDescent="0.2">
      <c r="A70" s="43" t="s">
        <v>86</v>
      </c>
      <c r="B70" s="21"/>
      <c r="C70" s="4"/>
      <c r="D70" s="4"/>
      <c r="E70" s="4"/>
      <c r="F70" s="195"/>
      <c r="G70" s="21"/>
      <c r="H70" s="4"/>
      <c r="I70" s="4"/>
      <c r="J70" s="4"/>
      <c r="K70" s="195"/>
      <c r="L70" s="193"/>
      <c r="M70" s="4"/>
      <c r="N70" s="4"/>
      <c r="O70" s="4"/>
      <c r="P70" s="186"/>
      <c r="Q70" s="21"/>
      <c r="R70" s="4"/>
      <c r="S70" s="4"/>
      <c r="T70" s="4"/>
      <c r="U70" s="195"/>
      <c r="V70" s="148">
        <v>0</v>
      </c>
      <c r="W70" s="100">
        <f>Z70-V70</f>
        <v>44</v>
      </c>
      <c r="X70" s="100">
        <v>-3</v>
      </c>
      <c r="Y70" s="100">
        <v>6</v>
      </c>
      <c r="Z70" s="108">
        <f>5+39</f>
        <v>44</v>
      </c>
      <c r="AA70" s="170">
        <v>0</v>
      </c>
      <c r="AB70" s="100">
        <v>62</v>
      </c>
      <c r="AC70" s="100">
        <v>4</v>
      </c>
      <c r="AD70" s="100">
        <v>4</v>
      </c>
      <c r="AE70" s="163">
        <f t="shared" ref="AE70:AE78" si="66">AA70+AB70</f>
        <v>62</v>
      </c>
      <c r="AF70" s="148">
        <v>0</v>
      </c>
      <c r="AG70" s="100">
        <f>AJ70-AF70</f>
        <v>205</v>
      </c>
      <c r="AH70" s="100">
        <f t="shared" ref="AH70:AH75" si="67">AJ69-AI69-AG70</f>
        <v>18</v>
      </c>
      <c r="AI70" s="100">
        <v>42</v>
      </c>
      <c r="AJ70" s="108">
        <f>71+134</f>
        <v>205</v>
      </c>
      <c r="AK70" s="170">
        <v>0</v>
      </c>
      <c r="AL70" s="100">
        <f>AO70-AK70</f>
        <v>90</v>
      </c>
      <c r="AM70" s="100">
        <f t="shared" ref="AM70:AM75" si="68">AO69-AN69-AL70</f>
        <v>0</v>
      </c>
      <c r="AN70" s="100">
        <v>15</v>
      </c>
      <c r="AO70" s="163">
        <f>8+82</f>
        <v>90</v>
      </c>
      <c r="AP70" s="148">
        <v>0</v>
      </c>
      <c r="AQ70" s="100">
        <f>AT70-AP70</f>
        <v>68</v>
      </c>
      <c r="AR70" s="100">
        <f t="shared" ref="AR70:AR75" si="69">AT69-AS69-AQ70</f>
        <v>6</v>
      </c>
      <c r="AS70" s="100">
        <v>8</v>
      </c>
      <c r="AT70" s="108">
        <f>27+41</f>
        <v>68</v>
      </c>
      <c r="AU70" s="170">
        <v>0</v>
      </c>
      <c r="AV70" s="101">
        <f>AY70-AU70</f>
        <v>57</v>
      </c>
      <c r="AW70" s="100">
        <f t="shared" ref="AW70:AW75" si="70">AY69-AX69-AV70</f>
        <v>2</v>
      </c>
      <c r="AX70" s="100">
        <v>15</v>
      </c>
      <c r="AY70" s="163">
        <f>31+26</f>
        <v>57</v>
      </c>
      <c r="AZ70" s="148">
        <v>0</v>
      </c>
      <c r="BA70" s="101">
        <f>BD70-AZ70</f>
        <v>94</v>
      </c>
      <c r="BB70" s="100">
        <f>BD69-BC69-BA70</f>
        <v>0</v>
      </c>
      <c r="BC70" s="100">
        <v>11</v>
      </c>
      <c r="BD70" s="108">
        <f>19+75</f>
        <v>94</v>
      </c>
      <c r="BE70" s="170">
        <v>0</v>
      </c>
      <c r="BF70" s="100">
        <f>BI70-BE70</f>
        <v>79</v>
      </c>
      <c r="BG70" s="100">
        <f t="shared" ref="BG70:BG74" si="71">BI69-BH69-BF70</f>
        <v>3</v>
      </c>
      <c r="BH70" s="100">
        <v>13</v>
      </c>
      <c r="BI70" s="163">
        <f>42+37</f>
        <v>79</v>
      </c>
      <c r="BJ70" s="148">
        <v>0</v>
      </c>
      <c r="BK70" s="100">
        <f>BN70-BJ70</f>
        <v>158</v>
      </c>
      <c r="BL70" s="100">
        <f t="shared" ref="BL70:BL75" si="72">BN69-BM69-BK70</f>
        <v>17</v>
      </c>
      <c r="BM70" s="100">
        <v>24</v>
      </c>
      <c r="BN70" s="108">
        <f>9+149</f>
        <v>158</v>
      </c>
      <c r="BO70" s="170">
        <v>51</v>
      </c>
      <c r="BP70" s="100">
        <v>88</v>
      </c>
      <c r="BQ70" s="100"/>
      <c r="BR70" s="100">
        <v>0</v>
      </c>
      <c r="BS70" s="100">
        <v>0</v>
      </c>
      <c r="BT70" s="163">
        <f>80+60</f>
        <v>140</v>
      </c>
      <c r="BU70" s="148">
        <v>43</v>
      </c>
      <c r="BV70" s="170">
        <f>BZ70-BU70</f>
        <v>31</v>
      </c>
      <c r="BW70" s="170"/>
      <c r="BX70" s="170">
        <f t="shared" ref="BX70:BX84" si="73">BZ69-BY69-BV70</f>
        <v>1</v>
      </c>
      <c r="BY70" s="170">
        <v>0</v>
      </c>
      <c r="BZ70" s="121">
        <f>35+39</f>
        <v>74</v>
      </c>
      <c r="CA70" s="148">
        <v>70</v>
      </c>
      <c r="CB70" s="170">
        <f>CF70-CA70</f>
        <v>80</v>
      </c>
      <c r="CC70" s="170"/>
      <c r="CD70" s="170">
        <f t="shared" ref="CD70:CD84" si="74">CF69-CE69-CB70</f>
        <v>13</v>
      </c>
      <c r="CE70" s="170">
        <v>0</v>
      </c>
      <c r="CF70" s="203">
        <f>96+54</f>
        <v>150</v>
      </c>
      <c r="CG70" s="148">
        <v>50</v>
      </c>
      <c r="CH70" s="170">
        <f>CL70-CG70</f>
        <v>70</v>
      </c>
      <c r="CI70" s="170"/>
      <c r="CJ70" s="170">
        <f t="shared" ref="CJ70:CJ84" si="75">CL69-CK69-CH70</f>
        <v>9</v>
      </c>
      <c r="CK70" s="170">
        <v>0</v>
      </c>
      <c r="CL70" s="121">
        <f>6+114</f>
        <v>120</v>
      </c>
      <c r="CM70" s="170">
        <v>46</v>
      </c>
      <c r="CN70" s="170">
        <f>CR70-CM70</f>
        <v>64</v>
      </c>
      <c r="CO70" s="170"/>
      <c r="CP70" s="170">
        <f t="shared" ref="CP70:CP84" si="76">CR69-CQ69-CN70</f>
        <v>1</v>
      </c>
      <c r="CQ70" s="170">
        <v>0</v>
      </c>
      <c r="CR70" s="203">
        <f>17+93</f>
        <v>110</v>
      </c>
      <c r="CS70" s="148">
        <v>47</v>
      </c>
      <c r="CT70" s="170">
        <f>CX70-CS70</f>
        <v>42</v>
      </c>
      <c r="CU70" s="170"/>
      <c r="CV70" s="170">
        <f t="shared" ref="CV70:CV84" si="77">CX69-CW69-CT70</f>
        <v>1</v>
      </c>
      <c r="CW70" s="170">
        <v>0</v>
      </c>
      <c r="CX70" s="121">
        <f>21+68</f>
        <v>89</v>
      </c>
      <c r="CY70" s="148">
        <v>90</v>
      </c>
      <c r="CZ70" s="170">
        <f>DD70-CY70</f>
        <v>159</v>
      </c>
      <c r="DA70" s="170"/>
      <c r="DB70" s="170">
        <f t="shared" ref="DB70:DB84" si="78">DD69-DC69-CZ70</f>
        <v>35</v>
      </c>
      <c r="DC70" s="170">
        <v>0</v>
      </c>
      <c r="DD70" s="121">
        <f>49+200</f>
        <v>249</v>
      </c>
      <c r="DE70" s="170">
        <v>125</v>
      </c>
      <c r="DF70" s="170">
        <f>DJ70-DE70</f>
        <v>361</v>
      </c>
      <c r="DG70" s="170"/>
      <c r="DH70" s="170">
        <f t="shared" ref="DH70:DH84" si="79">DJ69-DI69-DF70</f>
        <v>37</v>
      </c>
      <c r="DI70" s="170">
        <v>0</v>
      </c>
      <c r="DJ70" s="203">
        <f>164+322</f>
        <v>486</v>
      </c>
      <c r="DK70" s="148">
        <v>23</v>
      </c>
      <c r="DL70" s="170">
        <f>DP70-DK70</f>
        <v>34</v>
      </c>
      <c r="DM70" s="170"/>
      <c r="DN70" s="170">
        <f t="shared" ref="DN70:DN83" si="80">DP69-DO69-DL70</f>
        <v>6</v>
      </c>
      <c r="DO70" s="170">
        <v>0</v>
      </c>
      <c r="DP70" s="121">
        <f>18+39</f>
        <v>57</v>
      </c>
      <c r="DQ70" s="148">
        <v>82</v>
      </c>
      <c r="DR70" s="170">
        <f>DV70-DQ70</f>
        <v>127</v>
      </c>
      <c r="DS70" s="170"/>
      <c r="DT70" s="170">
        <f t="shared" ref="DT70:DT84" si="81">DV69-DU69-DR70</f>
        <v>20</v>
      </c>
      <c r="DU70" s="170">
        <v>0</v>
      </c>
      <c r="DV70" s="203">
        <f>8+201</f>
        <v>209</v>
      </c>
      <c r="DW70" s="148">
        <v>133</v>
      </c>
      <c r="DX70" s="170">
        <f>EB70-DW70</f>
        <v>288</v>
      </c>
      <c r="DY70" s="170"/>
      <c r="DZ70" s="170">
        <f>EB69-EA69-DX70</f>
        <v>31</v>
      </c>
      <c r="EA70" s="170">
        <v>0</v>
      </c>
      <c r="EB70" s="121">
        <f>41+380</f>
        <v>421</v>
      </c>
      <c r="EC70" s="148">
        <v>67</v>
      </c>
      <c r="ED70" s="170">
        <f>EH70-EC70</f>
        <v>71</v>
      </c>
      <c r="EE70" s="170"/>
      <c r="EF70" s="170">
        <f t="shared" ref="EF70" si="82">EH69-EG69-ED70</f>
        <v>12</v>
      </c>
      <c r="EG70" s="170">
        <v>0</v>
      </c>
      <c r="EH70" s="121">
        <f>70+68</f>
        <v>138</v>
      </c>
      <c r="EI70" s="148"/>
      <c r="EJ70" s="170"/>
      <c r="EK70" s="170"/>
      <c r="EL70" s="170"/>
      <c r="EM70" s="170"/>
      <c r="EN70" s="121"/>
      <c r="EO70" s="148"/>
      <c r="EP70" s="170"/>
      <c r="EQ70" s="170"/>
      <c r="ER70" s="170"/>
      <c r="ES70" s="170"/>
      <c r="ET70" s="121"/>
      <c r="EU70" s="203"/>
      <c r="EV70" s="203"/>
      <c r="EW70" s="203"/>
      <c r="EX70" s="203"/>
      <c r="EY70" s="203"/>
      <c r="EZ70" s="203"/>
      <c r="FA70" s="171">
        <f t="shared" si="63"/>
        <v>827</v>
      </c>
      <c r="FB70" s="143">
        <f t="shared" si="64"/>
        <v>2272</v>
      </c>
      <c r="FC70" s="143"/>
      <c r="FD70" s="97">
        <f t="shared" si="65"/>
        <v>213</v>
      </c>
      <c r="FE70" s="143">
        <f t="shared" si="65"/>
        <v>138</v>
      </c>
      <c r="FF70" s="114">
        <f t="shared" si="65"/>
        <v>3100</v>
      </c>
      <c r="FG70" s="239" t="s">
        <v>124</v>
      </c>
      <c r="FH70" s="43" t="s">
        <v>86</v>
      </c>
      <c r="FI70" s="255">
        <v>17</v>
      </c>
      <c r="FJ70" s="255" t="s">
        <v>231</v>
      </c>
      <c r="FK70" s="232"/>
      <c r="FL70" s="232"/>
      <c r="FM70" s="232"/>
      <c r="FN70" s="232"/>
      <c r="FO70" s="232"/>
      <c r="FP70" s="232"/>
    </row>
    <row r="71" spans="1:198" s="358" customFormat="1" x14ac:dyDescent="0.2">
      <c r="A71" s="401" t="s">
        <v>92</v>
      </c>
      <c r="B71" s="365"/>
      <c r="C71" s="366"/>
      <c r="D71" s="366"/>
      <c r="E71" s="366"/>
      <c r="F71" s="367"/>
      <c r="G71" s="365"/>
      <c r="H71" s="366"/>
      <c r="I71" s="366"/>
      <c r="J71" s="366"/>
      <c r="K71" s="367"/>
      <c r="L71" s="368"/>
      <c r="M71" s="366"/>
      <c r="N71" s="366"/>
      <c r="O71" s="366"/>
      <c r="P71" s="369"/>
      <c r="Q71" s="365"/>
      <c r="R71" s="366"/>
      <c r="S71" s="366"/>
      <c r="T71" s="366"/>
      <c r="U71" s="367"/>
      <c r="V71" s="370">
        <v>0</v>
      </c>
      <c r="W71" s="371">
        <v>37</v>
      </c>
      <c r="X71" s="371">
        <f>Z70-Y70-W71</f>
        <v>1</v>
      </c>
      <c r="Y71" s="371">
        <v>12</v>
      </c>
      <c r="Z71" s="372">
        <v>37</v>
      </c>
      <c r="AA71" s="373">
        <v>0</v>
      </c>
      <c r="AB71" s="371">
        <v>62</v>
      </c>
      <c r="AC71" s="371">
        <f>AE70-AD70-AB71</f>
        <v>-4</v>
      </c>
      <c r="AD71" s="371">
        <v>15</v>
      </c>
      <c r="AE71" s="402">
        <f t="shared" si="66"/>
        <v>62</v>
      </c>
      <c r="AF71" s="370">
        <v>0</v>
      </c>
      <c r="AG71" s="371">
        <v>158</v>
      </c>
      <c r="AH71" s="371">
        <f t="shared" si="67"/>
        <v>5</v>
      </c>
      <c r="AI71" s="371">
        <v>45</v>
      </c>
      <c r="AJ71" s="372">
        <f>AG71+AF71</f>
        <v>158</v>
      </c>
      <c r="AK71" s="373">
        <v>0</v>
      </c>
      <c r="AL71" s="371">
        <v>62</v>
      </c>
      <c r="AM71" s="371">
        <f t="shared" si="68"/>
        <v>13</v>
      </c>
      <c r="AN71" s="371">
        <v>16</v>
      </c>
      <c r="AO71" s="402">
        <f>AL71+AK71</f>
        <v>62</v>
      </c>
      <c r="AP71" s="370">
        <v>0</v>
      </c>
      <c r="AQ71" s="371">
        <v>52</v>
      </c>
      <c r="AR71" s="371">
        <f t="shared" si="69"/>
        <v>8</v>
      </c>
      <c r="AS71" s="371">
        <v>14</v>
      </c>
      <c r="AT71" s="372">
        <f>AQ71+AP71</f>
        <v>52</v>
      </c>
      <c r="AU71" s="373">
        <v>0</v>
      </c>
      <c r="AV71" s="371">
        <v>40</v>
      </c>
      <c r="AW71" s="371">
        <f t="shared" si="70"/>
        <v>2</v>
      </c>
      <c r="AX71" s="371">
        <v>9</v>
      </c>
      <c r="AY71" s="402">
        <f>AV71+AU71</f>
        <v>40</v>
      </c>
      <c r="AZ71" s="370">
        <v>0</v>
      </c>
      <c r="BA71" s="371">
        <v>82</v>
      </c>
      <c r="BB71" s="371">
        <f>BD70-BC70-BA71</f>
        <v>1</v>
      </c>
      <c r="BC71" s="371">
        <v>15</v>
      </c>
      <c r="BD71" s="372">
        <f t="shared" ref="BD71:BD81" si="83">AZ71+BA71</f>
        <v>82</v>
      </c>
      <c r="BE71" s="373">
        <v>0</v>
      </c>
      <c r="BF71" s="371">
        <v>63</v>
      </c>
      <c r="BG71" s="371">
        <f t="shared" si="71"/>
        <v>3</v>
      </c>
      <c r="BH71" s="371">
        <v>23</v>
      </c>
      <c r="BI71" s="402">
        <f t="shared" ref="BI71:BI78" si="84">BE71+BF71</f>
        <v>63</v>
      </c>
      <c r="BJ71" s="370">
        <v>0</v>
      </c>
      <c r="BK71" s="371">
        <v>125</v>
      </c>
      <c r="BL71" s="371">
        <f t="shared" si="72"/>
        <v>9</v>
      </c>
      <c r="BM71" s="371">
        <v>21</v>
      </c>
      <c r="BN71" s="372">
        <f t="shared" ref="BN71:BN78" si="85">BJ71+BK71</f>
        <v>125</v>
      </c>
      <c r="BO71" s="373">
        <v>8</v>
      </c>
      <c r="BP71" s="371">
        <v>139</v>
      </c>
      <c r="BQ71" s="371"/>
      <c r="BR71" s="371">
        <f t="shared" ref="BR71:BR81" si="86">BT70-BS70-BP71</f>
        <v>1</v>
      </c>
      <c r="BS71" s="371">
        <v>0</v>
      </c>
      <c r="BT71" s="402">
        <f t="shared" ref="BT71:BT74" si="87">BO71+BP71</f>
        <v>147</v>
      </c>
      <c r="BU71" s="370">
        <v>8</v>
      </c>
      <c r="BV71" s="373">
        <v>62</v>
      </c>
      <c r="BW71" s="373"/>
      <c r="BX71" s="373">
        <f t="shared" si="73"/>
        <v>12</v>
      </c>
      <c r="BY71" s="373">
        <v>0</v>
      </c>
      <c r="BZ71" s="403">
        <f t="shared" ref="BZ71:BZ75" si="88">BU71+BV71</f>
        <v>70</v>
      </c>
      <c r="CA71" s="370">
        <v>20</v>
      </c>
      <c r="CB71" s="373">
        <v>121</v>
      </c>
      <c r="CC71" s="373"/>
      <c r="CD71" s="373">
        <f t="shared" si="74"/>
        <v>29</v>
      </c>
      <c r="CE71" s="373">
        <v>0</v>
      </c>
      <c r="CF71" s="404">
        <f t="shared" ref="CF71:CF75" si="89">CA71+CB71</f>
        <v>141</v>
      </c>
      <c r="CG71" s="370">
        <v>9</v>
      </c>
      <c r="CH71" s="373">
        <v>112</v>
      </c>
      <c r="CI71" s="373"/>
      <c r="CJ71" s="373">
        <f t="shared" si="75"/>
        <v>8</v>
      </c>
      <c r="CK71" s="373">
        <v>0</v>
      </c>
      <c r="CL71" s="403">
        <f t="shared" ref="CL71:CL75" si="90">CG71+CH71</f>
        <v>121</v>
      </c>
      <c r="CM71" s="373">
        <v>3</v>
      </c>
      <c r="CN71" s="373">
        <v>92</v>
      </c>
      <c r="CO71" s="373"/>
      <c r="CP71" s="373">
        <f t="shared" si="76"/>
        <v>18</v>
      </c>
      <c r="CQ71" s="373">
        <v>0</v>
      </c>
      <c r="CR71" s="404">
        <f t="shared" ref="CR71:CR75" si="91">CM71+CN71</f>
        <v>95</v>
      </c>
      <c r="CS71" s="370">
        <v>14</v>
      </c>
      <c r="CT71" s="373">
        <v>80</v>
      </c>
      <c r="CU71" s="373"/>
      <c r="CV71" s="373">
        <f t="shared" si="77"/>
        <v>9</v>
      </c>
      <c r="CW71" s="373">
        <v>0</v>
      </c>
      <c r="CX71" s="403">
        <f t="shared" ref="CX71:CX75" si="92">CS71+CT71</f>
        <v>94</v>
      </c>
      <c r="CY71" s="370">
        <v>20</v>
      </c>
      <c r="CZ71" s="373">
        <v>199</v>
      </c>
      <c r="DA71" s="373"/>
      <c r="DB71" s="373">
        <f t="shared" si="78"/>
        <v>50</v>
      </c>
      <c r="DC71" s="373">
        <v>0</v>
      </c>
      <c r="DD71" s="403">
        <f t="shared" ref="DD71:DD75" si="93">CY71+CZ71</f>
        <v>219</v>
      </c>
      <c r="DE71" s="373">
        <v>76</v>
      </c>
      <c r="DF71" s="373">
        <v>440</v>
      </c>
      <c r="DG71" s="373"/>
      <c r="DH71" s="373">
        <f t="shared" si="79"/>
        <v>46</v>
      </c>
      <c r="DI71" s="373">
        <v>0</v>
      </c>
      <c r="DJ71" s="404">
        <f t="shared" ref="DJ71:DJ75" si="94">DE71+DF71</f>
        <v>516</v>
      </c>
      <c r="DK71" s="370">
        <v>0</v>
      </c>
      <c r="DL71" s="373">
        <v>46</v>
      </c>
      <c r="DM71" s="373"/>
      <c r="DN71" s="373">
        <f t="shared" si="80"/>
        <v>11</v>
      </c>
      <c r="DO71" s="373">
        <v>0</v>
      </c>
      <c r="DP71" s="403">
        <f t="shared" ref="DP71:DP75" si="95">DK71+DL71</f>
        <v>46</v>
      </c>
      <c r="DQ71" s="370">
        <v>17</v>
      </c>
      <c r="DR71" s="373">
        <v>172</v>
      </c>
      <c r="DS71" s="373"/>
      <c r="DT71" s="373">
        <f t="shared" si="81"/>
        <v>37</v>
      </c>
      <c r="DU71" s="373">
        <v>0</v>
      </c>
      <c r="DV71" s="404">
        <f>DR71+DQ71</f>
        <v>189</v>
      </c>
      <c r="DW71" s="370">
        <v>42</v>
      </c>
      <c r="DX71" s="373">
        <v>373</v>
      </c>
      <c r="DY71" s="373"/>
      <c r="DZ71" s="373">
        <f>EB70-EA70-DX71</f>
        <v>48</v>
      </c>
      <c r="EA71" s="373">
        <v>0</v>
      </c>
      <c r="EB71" s="403">
        <f t="shared" ref="EB71:EB75" si="96">DW71+DX71</f>
        <v>415</v>
      </c>
      <c r="EC71" s="370">
        <v>12</v>
      </c>
      <c r="ED71" s="373">
        <v>127</v>
      </c>
      <c r="EE71" s="373"/>
      <c r="EF71" s="373">
        <f>EH70-EG70-ED71</f>
        <v>11</v>
      </c>
      <c r="EG71" s="373">
        <v>0</v>
      </c>
      <c r="EH71" s="403">
        <f>ED71+EC71</f>
        <v>139</v>
      </c>
      <c r="EI71" s="370"/>
      <c r="EJ71" s="373"/>
      <c r="EK71" s="373"/>
      <c r="EL71" s="373"/>
      <c r="EM71" s="373"/>
      <c r="EN71" s="403"/>
      <c r="EO71" s="370"/>
      <c r="EP71" s="373"/>
      <c r="EQ71" s="373"/>
      <c r="ER71" s="373"/>
      <c r="ES71" s="373"/>
      <c r="ET71" s="403"/>
      <c r="EU71" s="404"/>
      <c r="EV71" s="404"/>
      <c r="EW71" s="404"/>
      <c r="EX71" s="404"/>
      <c r="EY71" s="404"/>
      <c r="EZ71" s="404"/>
      <c r="FA71" s="373">
        <f t="shared" si="63"/>
        <v>229</v>
      </c>
      <c r="FB71" s="395">
        <f t="shared" si="64"/>
        <v>2644</v>
      </c>
      <c r="FC71" s="395"/>
      <c r="FD71" s="405">
        <f t="shared" si="65"/>
        <v>318</v>
      </c>
      <c r="FE71" s="395">
        <f t="shared" si="65"/>
        <v>170</v>
      </c>
      <c r="FF71" s="377">
        <f t="shared" si="65"/>
        <v>2873</v>
      </c>
      <c r="FG71" s="374" t="s">
        <v>125</v>
      </c>
      <c r="FH71" s="401" t="s">
        <v>92</v>
      </c>
      <c r="FI71" s="321">
        <v>12</v>
      </c>
      <c r="FJ71" s="321" t="s">
        <v>230</v>
      </c>
    </row>
    <row r="72" spans="1:198" x14ac:dyDescent="0.2">
      <c r="A72" s="43" t="s">
        <v>93</v>
      </c>
      <c r="B72" s="51"/>
      <c r="C72" s="36"/>
      <c r="D72" s="36"/>
      <c r="E72" s="36"/>
      <c r="F72" s="194"/>
      <c r="G72" s="51"/>
      <c r="H72" s="36"/>
      <c r="I72" s="36"/>
      <c r="J72" s="36"/>
      <c r="K72" s="194"/>
      <c r="L72" s="77"/>
      <c r="M72" s="36"/>
      <c r="N72" s="36"/>
      <c r="O72" s="36"/>
      <c r="P72" s="185"/>
      <c r="Q72" s="51"/>
      <c r="R72" s="36"/>
      <c r="S72" s="36"/>
      <c r="T72" s="36"/>
      <c r="U72" s="194"/>
      <c r="V72" s="128">
        <v>0</v>
      </c>
      <c r="W72" s="101">
        <v>25</v>
      </c>
      <c r="X72" s="101">
        <f>Z71-Y71-W72</f>
        <v>0</v>
      </c>
      <c r="Y72" s="101">
        <v>10</v>
      </c>
      <c r="Z72" s="109">
        <f t="shared" ref="Z72:Z77" si="97">V72+W72</f>
        <v>25</v>
      </c>
      <c r="AA72" s="171">
        <v>0</v>
      </c>
      <c r="AB72" s="101">
        <v>48</v>
      </c>
      <c r="AC72" s="101">
        <f>AE71-AD71-AB72</f>
        <v>-1</v>
      </c>
      <c r="AD72" s="101">
        <v>22</v>
      </c>
      <c r="AE72" s="164">
        <f t="shared" si="66"/>
        <v>48</v>
      </c>
      <c r="AF72" s="128">
        <v>0</v>
      </c>
      <c r="AG72" s="101">
        <v>116</v>
      </c>
      <c r="AH72" s="101">
        <f>AJ71-AI71-AG72</f>
        <v>-3</v>
      </c>
      <c r="AI72" s="101">
        <v>37</v>
      </c>
      <c r="AJ72" s="109">
        <f t="shared" ref="AJ72:AJ78" si="98">AF72+AG72</f>
        <v>116</v>
      </c>
      <c r="AK72" s="171">
        <v>0</v>
      </c>
      <c r="AL72" s="101">
        <v>53</v>
      </c>
      <c r="AM72" s="101">
        <f>AO71-AN71-AL72</f>
        <v>-7</v>
      </c>
      <c r="AN72" s="101">
        <v>22</v>
      </c>
      <c r="AO72" s="164">
        <f t="shared" ref="AO72:AO78" si="99">AK72+AL72</f>
        <v>53</v>
      </c>
      <c r="AP72" s="128">
        <v>0</v>
      </c>
      <c r="AQ72" s="101">
        <v>44</v>
      </c>
      <c r="AR72" s="101">
        <f>AT71-AS71-AQ72</f>
        <v>-6</v>
      </c>
      <c r="AS72" s="101">
        <v>7</v>
      </c>
      <c r="AT72" s="109">
        <f t="shared" ref="AT72:AT78" si="100">AP72+AQ72</f>
        <v>44</v>
      </c>
      <c r="AU72" s="171">
        <v>0</v>
      </c>
      <c r="AV72" s="101">
        <v>31</v>
      </c>
      <c r="AW72" s="101">
        <f>AY71-AX71-AV72</f>
        <v>0</v>
      </c>
      <c r="AX72" s="101">
        <v>13</v>
      </c>
      <c r="AY72" s="164">
        <f t="shared" ref="AY72:AY78" si="101">AU72+AV72</f>
        <v>31</v>
      </c>
      <c r="AZ72" s="128">
        <v>0</v>
      </c>
      <c r="BA72" s="101">
        <v>62</v>
      </c>
      <c r="BB72" s="101">
        <f>BD71-BC71-BA72</f>
        <v>5</v>
      </c>
      <c r="BC72" s="101">
        <v>30</v>
      </c>
      <c r="BD72" s="109">
        <f t="shared" si="83"/>
        <v>62</v>
      </c>
      <c r="BE72" s="171">
        <v>0</v>
      </c>
      <c r="BF72" s="101">
        <v>45</v>
      </c>
      <c r="BG72" s="101">
        <f>BI71-BH71-BF72</f>
        <v>-5</v>
      </c>
      <c r="BH72" s="101">
        <v>29</v>
      </c>
      <c r="BI72" s="164">
        <f t="shared" si="84"/>
        <v>45</v>
      </c>
      <c r="BJ72" s="128">
        <v>0</v>
      </c>
      <c r="BK72" s="101">
        <v>99</v>
      </c>
      <c r="BL72" s="101">
        <f>BN71-BM71-BK72</f>
        <v>5</v>
      </c>
      <c r="BM72" s="101">
        <v>40</v>
      </c>
      <c r="BN72" s="109">
        <f t="shared" si="85"/>
        <v>99</v>
      </c>
      <c r="BO72" s="171">
        <v>42</v>
      </c>
      <c r="BP72" s="101">
        <v>137</v>
      </c>
      <c r="BQ72" s="101"/>
      <c r="BR72" s="101">
        <f t="shared" si="86"/>
        <v>10</v>
      </c>
      <c r="BS72" s="101">
        <v>0</v>
      </c>
      <c r="BT72" s="164">
        <f t="shared" si="87"/>
        <v>179</v>
      </c>
      <c r="BU72" s="128">
        <v>61</v>
      </c>
      <c r="BV72" s="171">
        <v>68</v>
      </c>
      <c r="BW72" s="171"/>
      <c r="BX72" s="171">
        <f>BZ71-BY71-BV72</f>
        <v>2</v>
      </c>
      <c r="BY72" s="171">
        <v>0</v>
      </c>
      <c r="BZ72" s="123">
        <f t="shared" si="88"/>
        <v>129</v>
      </c>
      <c r="CA72" s="128">
        <v>48</v>
      </c>
      <c r="CB72" s="171">
        <v>129</v>
      </c>
      <c r="CC72" s="171"/>
      <c r="CD72" s="373">
        <f t="shared" si="74"/>
        <v>12</v>
      </c>
      <c r="CE72" s="171">
        <v>0</v>
      </c>
      <c r="CF72" s="204">
        <f t="shared" si="89"/>
        <v>177</v>
      </c>
      <c r="CG72" s="128">
        <v>49</v>
      </c>
      <c r="CH72" s="171">
        <v>115</v>
      </c>
      <c r="CI72" s="171"/>
      <c r="CJ72" s="373">
        <f t="shared" si="75"/>
        <v>6</v>
      </c>
      <c r="CK72" s="171">
        <v>0</v>
      </c>
      <c r="CL72" s="123">
        <f t="shared" si="90"/>
        <v>164</v>
      </c>
      <c r="CM72" s="171">
        <v>41</v>
      </c>
      <c r="CN72" s="171">
        <v>84</v>
      </c>
      <c r="CO72" s="171"/>
      <c r="CP72" s="373">
        <f t="shared" si="76"/>
        <v>11</v>
      </c>
      <c r="CQ72" s="171">
        <v>0</v>
      </c>
      <c r="CR72" s="204">
        <f t="shared" si="91"/>
        <v>125</v>
      </c>
      <c r="CS72" s="128">
        <v>69</v>
      </c>
      <c r="CT72" s="171">
        <v>81</v>
      </c>
      <c r="CU72" s="171"/>
      <c r="CV72" s="373">
        <f t="shared" si="77"/>
        <v>13</v>
      </c>
      <c r="CW72" s="171">
        <v>0</v>
      </c>
      <c r="CX72" s="123">
        <f t="shared" si="92"/>
        <v>150</v>
      </c>
      <c r="CY72" s="128">
        <v>80</v>
      </c>
      <c r="CZ72" s="171">
        <v>195</v>
      </c>
      <c r="DA72" s="171"/>
      <c r="DB72" s="373">
        <f t="shared" si="78"/>
        <v>24</v>
      </c>
      <c r="DC72" s="171">
        <v>0</v>
      </c>
      <c r="DD72" s="123">
        <f t="shared" si="93"/>
        <v>275</v>
      </c>
      <c r="DE72" s="171">
        <v>121</v>
      </c>
      <c r="DF72" s="171">
        <v>472</v>
      </c>
      <c r="DG72" s="171"/>
      <c r="DH72" s="373">
        <f t="shared" si="79"/>
        <v>44</v>
      </c>
      <c r="DI72" s="171">
        <v>0</v>
      </c>
      <c r="DJ72" s="204">
        <f t="shared" si="94"/>
        <v>593</v>
      </c>
      <c r="DK72" s="128">
        <v>0</v>
      </c>
      <c r="DL72" s="171">
        <v>39</v>
      </c>
      <c r="DM72" s="171"/>
      <c r="DN72" s="373">
        <f t="shared" si="80"/>
        <v>7</v>
      </c>
      <c r="DO72" s="171">
        <v>0</v>
      </c>
      <c r="DP72" s="123">
        <f t="shared" si="95"/>
        <v>39</v>
      </c>
      <c r="DQ72" s="128">
        <v>76</v>
      </c>
      <c r="DR72" s="171">
        <v>169</v>
      </c>
      <c r="DS72" s="171"/>
      <c r="DT72" s="373">
        <f t="shared" si="81"/>
        <v>20</v>
      </c>
      <c r="DU72" s="171">
        <v>0</v>
      </c>
      <c r="DV72" s="204">
        <f>DQ72+DR72</f>
        <v>245</v>
      </c>
      <c r="DW72" s="128">
        <v>89</v>
      </c>
      <c r="DX72" s="171">
        <v>373</v>
      </c>
      <c r="DY72" s="171"/>
      <c r="DZ72" s="373">
        <f t="shared" ref="DZ72:DZ79" si="102">EB71-EA71-DX72</f>
        <v>42</v>
      </c>
      <c r="EA72" s="171">
        <v>0</v>
      </c>
      <c r="EB72" s="123">
        <f t="shared" si="96"/>
        <v>462</v>
      </c>
      <c r="EC72" s="128">
        <v>43</v>
      </c>
      <c r="ED72" s="171">
        <v>129</v>
      </c>
      <c r="EE72" s="171"/>
      <c r="EF72" s="373">
        <f>EH71-EG71-ED72</f>
        <v>10</v>
      </c>
      <c r="EG72" s="171">
        <v>0</v>
      </c>
      <c r="EH72" s="123">
        <f>EC72+ED72</f>
        <v>172</v>
      </c>
      <c r="EI72" s="128"/>
      <c r="EJ72" s="171"/>
      <c r="EK72" s="171"/>
      <c r="EL72" s="171"/>
      <c r="EM72" s="171"/>
      <c r="EN72" s="123"/>
      <c r="EO72" s="128"/>
      <c r="EP72" s="171"/>
      <c r="EQ72" s="171"/>
      <c r="ER72" s="171"/>
      <c r="ES72" s="171"/>
      <c r="ET72" s="123"/>
      <c r="EU72" s="204"/>
      <c r="EV72" s="204"/>
      <c r="EW72" s="204"/>
      <c r="EX72" s="204"/>
      <c r="EY72" s="204"/>
      <c r="EZ72" s="204"/>
      <c r="FA72" s="171">
        <f t="shared" si="63"/>
        <v>719</v>
      </c>
      <c r="FB72" s="143">
        <f t="shared" si="64"/>
        <v>2514</v>
      </c>
      <c r="FC72" s="143"/>
      <c r="FD72" s="97">
        <f>FF71-FE71-FB72</f>
        <v>189</v>
      </c>
      <c r="FE72" s="143">
        <f t="shared" ref="FE72:FF76" si="103">SUM(E72+J72+O72+T72+Y72+AD72+AI72+AN72+AS72+AX72+BC72+BH72+BM72+BS72+BY72+CE72+CK72+CQ72+CW72+DC72+DI72+DO72+DU72+EA72+EG72)</f>
        <v>210</v>
      </c>
      <c r="FF72" s="114">
        <f t="shared" si="103"/>
        <v>3233</v>
      </c>
      <c r="FG72" s="239">
        <v>213</v>
      </c>
      <c r="FH72" s="43" t="s">
        <v>93</v>
      </c>
      <c r="FI72" s="255">
        <v>18</v>
      </c>
      <c r="FJ72" s="255" t="s">
        <v>230</v>
      </c>
      <c r="FK72" s="232"/>
      <c r="FL72" s="232"/>
      <c r="FM72" s="232"/>
      <c r="FN72" s="232"/>
      <c r="FO72" s="232"/>
      <c r="FP72" s="232"/>
    </row>
    <row r="73" spans="1:198" s="293" customFormat="1" x14ac:dyDescent="0.2">
      <c r="A73" s="66" t="s">
        <v>94</v>
      </c>
      <c r="B73" s="51"/>
      <c r="C73" s="36"/>
      <c r="D73" s="36"/>
      <c r="E73" s="36"/>
      <c r="F73" s="194"/>
      <c r="G73" s="51"/>
      <c r="H73" s="36"/>
      <c r="I73" s="36"/>
      <c r="J73" s="36"/>
      <c r="K73" s="194"/>
      <c r="L73" s="77"/>
      <c r="M73" s="36"/>
      <c r="N73" s="36"/>
      <c r="O73" s="36"/>
      <c r="P73" s="185"/>
      <c r="Q73" s="51"/>
      <c r="R73" s="36"/>
      <c r="S73" s="36"/>
      <c r="T73" s="36"/>
      <c r="U73" s="194"/>
      <c r="V73" s="128">
        <v>0</v>
      </c>
      <c r="W73" s="101">
        <v>17</v>
      </c>
      <c r="X73" s="101">
        <v>-2</v>
      </c>
      <c r="Y73" s="101">
        <v>7</v>
      </c>
      <c r="Z73" s="109">
        <f t="shared" si="97"/>
        <v>17</v>
      </c>
      <c r="AA73" s="128">
        <v>0</v>
      </c>
      <c r="AB73" s="101">
        <v>29</v>
      </c>
      <c r="AC73" s="101">
        <v>-3</v>
      </c>
      <c r="AD73" s="101">
        <v>8</v>
      </c>
      <c r="AE73" s="109">
        <f t="shared" si="66"/>
        <v>29</v>
      </c>
      <c r="AF73" s="128">
        <v>0</v>
      </c>
      <c r="AG73" s="101">
        <v>76</v>
      </c>
      <c r="AH73" s="101">
        <v>3</v>
      </c>
      <c r="AI73" s="101">
        <v>30</v>
      </c>
      <c r="AJ73" s="109">
        <f t="shared" si="98"/>
        <v>76</v>
      </c>
      <c r="AK73" s="128">
        <v>0</v>
      </c>
      <c r="AL73" s="101">
        <v>29</v>
      </c>
      <c r="AM73" s="101">
        <f t="shared" si="68"/>
        <v>2</v>
      </c>
      <c r="AN73" s="100">
        <v>13</v>
      </c>
      <c r="AO73" s="109">
        <f t="shared" si="99"/>
        <v>29</v>
      </c>
      <c r="AP73" s="128">
        <v>0</v>
      </c>
      <c r="AQ73" s="101">
        <v>37</v>
      </c>
      <c r="AR73" s="101">
        <v>0</v>
      </c>
      <c r="AS73" s="101">
        <v>16</v>
      </c>
      <c r="AT73" s="109">
        <f t="shared" si="100"/>
        <v>37</v>
      </c>
      <c r="AU73" s="128">
        <v>0</v>
      </c>
      <c r="AV73" s="101">
        <v>12</v>
      </c>
      <c r="AW73" s="101">
        <v>6</v>
      </c>
      <c r="AX73" s="100">
        <v>0</v>
      </c>
      <c r="AY73" s="109">
        <f t="shared" si="101"/>
        <v>12</v>
      </c>
      <c r="AZ73" s="128">
        <v>0</v>
      </c>
      <c r="BA73" s="101">
        <v>34</v>
      </c>
      <c r="BB73" s="101">
        <v>-2</v>
      </c>
      <c r="BC73" s="101">
        <v>25</v>
      </c>
      <c r="BD73" s="109">
        <f t="shared" si="83"/>
        <v>34</v>
      </c>
      <c r="BE73" s="128">
        <v>0</v>
      </c>
      <c r="BF73" s="101">
        <v>11</v>
      </c>
      <c r="BG73" s="101">
        <v>5</v>
      </c>
      <c r="BH73" s="101">
        <v>5</v>
      </c>
      <c r="BI73" s="109">
        <f t="shared" si="84"/>
        <v>11</v>
      </c>
      <c r="BJ73" s="128">
        <v>0</v>
      </c>
      <c r="BK73" s="101">
        <v>50</v>
      </c>
      <c r="BL73" s="101">
        <v>9</v>
      </c>
      <c r="BM73" s="100">
        <v>21</v>
      </c>
      <c r="BN73" s="109">
        <f t="shared" si="85"/>
        <v>50</v>
      </c>
      <c r="BO73" s="128">
        <v>26</v>
      </c>
      <c r="BP73" s="101">
        <v>165</v>
      </c>
      <c r="BQ73" s="101"/>
      <c r="BR73" s="101">
        <f t="shared" si="86"/>
        <v>14</v>
      </c>
      <c r="BS73" s="101">
        <v>9</v>
      </c>
      <c r="BT73" s="109">
        <f t="shared" si="87"/>
        <v>191</v>
      </c>
      <c r="BU73" s="128">
        <v>0</v>
      </c>
      <c r="BV73" s="101">
        <v>117</v>
      </c>
      <c r="BW73" s="101"/>
      <c r="BX73" s="101">
        <f t="shared" si="73"/>
        <v>12</v>
      </c>
      <c r="BY73" s="170">
        <v>0</v>
      </c>
      <c r="BZ73" s="109">
        <f t="shared" si="88"/>
        <v>117</v>
      </c>
      <c r="CA73" s="128">
        <v>0</v>
      </c>
      <c r="CB73" s="101">
        <v>155</v>
      </c>
      <c r="CC73" s="101"/>
      <c r="CD73" s="373">
        <f t="shared" si="74"/>
        <v>22</v>
      </c>
      <c r="CE73" s="101">
        <v>1</v>
      </c>
      <c r="CF73" s="109">
        <f t="shared" si="89"/>
        <v>155</v>
      </c>
      <c r="CG73" s="128"/>
      <c r="CH73" s="101">
        <v>150</v>
      </c>
      <c r="CI73" s="101"/>
      <c r="CJ73" s="373">
        <f t="shared" si="75"/>
        <v>14</v>
      </c>
      <c r="CK73" s="101">
        <v>0</v>
      </c>
      <c r="CL73" s="109">
        <f t="shared" si="90"/>
        <v>150</v>
      </c>
      <c r="CM73" s="128">
        <v>0</v>
      </c>
      <c r="CN73" s="101">
        <v>111</v>
      </c>
      <c r="CO73" s="171"/>
      <c r="CP73" s="373">
        <f t="shared" si="76"/>
        <v>14</v>
      </c>
      <c r="CQ73" s="101">
        <v>0</v>
      </c>
      <c r="CR73" s="109">
        <f t="shared" si="91"/>
        <v>111</v>
      </c>
      <c r="CS73" s="128">
        <v>33</v>
      </c>
      <c r="CT73" s="101">
        <v>120</v>
      </c>
      <c r="CU73" s="101"/>
      <c r="CV73" s="373">
        <f t="shared" si="77"/>
        <v>30</v>
      </c>
      <c r="CW73" s="101">
        <v>0</v>
      </c>
      <c r="CX73" s="109">
        <f t="shared" si="92"/>
        <v>153</v>
      </c>
      <c r="CY73" s="128">
        <v>25</v>
      </c>
      <c r="CZ73" s="101">
        <v>223</v>
      </c>
      <c r="DA73" s="101"/>
      <c r="DB73" s="373">
        <f t="shared" si="78"/>
        <v>52</v>
      </c>
      <c r="DC73" s="101">
        <v>3</v>
      </c>
      <c r="DD73" s="109">
        <f t="shared" si="93"/>
        <v>248</v>
      </c>
      <c r="DE73" s="128">
        <v>74</v>
      </c>
      <c r="DF73" s="101">
        <v>547</v>
      </c>
      <c r="DG73" s="101"/>
      <c r="DH73" s="373">
        <f t="shared" si="79"/>
        <v>46</v>
      </c>
      <c r="DI73" s="101">
        <v>0</v>
      </c>
      <c r="DJ73" s="109">
        <f t="shared" si="94"/>
        <v>621</v>
      </c>
      <c r="DK73" s="128">
        <v>0</v>
      </c>
      <c r="DL73" s="101">
        <v>42</v>
      </c>
      <c r="DM73" s="101"/>
      <c r="DN73" s="373">
        <f t="shared" si="80"/>
        <v>-3</v>
      </c>
      <c r="DO73" s="101">
        <v>0</v>
      </c>
      <c r="DP73" s="109">
        <f t="shared" si="95"/>
        <v>42</v>
      </c>
      <c r="DQ73" s="128">
        <v>0</v>
      </c>
      <c r="DR73" s="101">
        <v>229</v>
      </c>
      <c r="DS73" s="101"/>
      <c r="DT73" s="373">
        <f t="shared" si="81"/>
        <v>16</v>
      </c>
      <c r="DU73" s="101">
        <v>1</v>
      </c>
      <c r="DV73" s="109">
        <f>DQ73+DR73</f>
        <v>229</v>
      </c>
      <c r="DW73" s="128">
        <v>40</v>
      </c>
      <c r="DX73" s="101">
        <v>438</v>
      </c>
      <c r="DY73" s="101"/>
      <c r="DZ73" s="373">
        <f t="shared" si="102"/>
        <v>24</v>
      </c>
      <c r="EA73" s="101">
        <v>0</v>
      </c>
      <c r="EB73" s="109">
        <f t="shared" si="96"/>
        <v>478</v>
      </c>
      <c r="EC73" s="128">
        <v>0</v>
      </c>
      <c r="ED73" s="101">
        <v>152</v>
      </c>
      <c r="EE73" s="101"/>
      <c r="EF73" s="373">
        <f t="shared" ref="EF73:EF79" si="104">EH72-EG72-ED73</f>
        <v>20</v>
      </c>
      <c r="EG73" s="101">
        <v>4</v>
      </c>
      <c r="EH73" s="109">
        <f>EC73+ED73</f>
        <v>152</v>
      </c>
      <c r="EI73" s="128"/>
      <c r="EJ73" s="101"/>
      <c r="EK73" s="101"/>
      <c r="EL73" s="101"/>
      <c r="EM73" s="101"/>
      <c r="EN73" s="109"/>
      <c r="EO73" s="128"/>
      <c r="EP73" s="101"/>
      <c r="EQ73" s="101"/>
      <c r="ER73" s="101"/>
      <c r="ES73" s="101"/>
      <c r="ET73" s="109"/>
      <c r="EU73" s="204"/>
      <c r="EV73" s="204"/>
      <c r="EW73" s="204"/>
      <c r="EX73" s="204"/>
      <c r="EY73" s="204"/>
      <c r="EZ73" s="204"/>
      <c r="FA73" s="128">
        <f t="shared" si="63"/>
        <v>198</v>
      </c>
      <c r="FB73" s="171">
        <f t="shared" si="64"/>
        <v>2744</v>
      </c>
      <c r="FC73" s="171"/>
      <c r="FD73" s="171">
        <f>SUM(D73+I73+N73+S73+X73+AC73+AH73+AM73+AR73+AW73+BB73+BG73+BL73+BR73+BX73+CD73+CJ73+CP73+CV73+DB73+DH73+DN73+DT73+DZ73+EF73)</f>
        <v>279</v>
      </c>
      <c r="FE73" s="171">
        <f t="shared" si="103"/>
        <v>143</v>
      </c>
      <c r="FF73" s="114">
        <f t="shared" si="103"/>
        <v>2942</v>
      </c>
      <c r="FG73" s="239" t="s">
        <v>122</v>
      </c>
      <c r="FH73" s="66" t="s">
        <v>94</v>
      </c>
      <c r="FI73" s="255">
        <v>11</v>
      </c>
      <c r="FJ73" s="255" t="s">
        <v>230</v>
      </c>
      <c r="FK73" s="232"/>
      <c r="FL73" s="255"/>
      <c r="FM73" s="255"/>
      <c r="FN73" s="255"/>
      <c r="FO73" s="255"/>
      <c r="FP73" s="255"/>
      <c r="FQ73" s="232"/>
      <c r="FR73" s="232"/>
      <c r="FS73" s="232"/>
      <c r="FT73" s="232"/>
      <c r="FU73" s="232"/>
      <c r="FV73" s="232"/>
      <c r="FW73" s="232"/>
      <c r="FX73" s="232"/>
      <c r="FY73" s="232"/>
      <c r="FZ73" s="232"/>
      <c r="GA73" s="232"/>
      <c r="GB73" s="232"/>
      <c r="GC73" s="232"/>
      <c r="GD73" s="232"/>
      <c r="GE73" s="232"/>
      <c r="GF73" s="232"/>
      <c r="GG73" s="232"/>
      <c r="GH73" s="232"/>
      <c r="GI73" s="232"/>
      <c r="GJ73" s="232"/>
      <c r="GK73" s="232"/>
      <c r="GL73" s="232"/>
      <c r="GM73" s="232"/>
      <c r="GN73" s="232"/>
      <c r="GO73" s="232"/>
      <c r="GP73" s="232"/>
    </row>
    <row r="74" spans="1:198" x14ac:dyDescent="0.2">
      <c r="A74" s="66" t="s">
        <v>96</v>
      </c>
      <c r="B74" s="241"/>
      <c r="C74" s="242"/>
      <c r="D74" s="242"/>
      <c r="E74" s="242"/>
      <c r="F74" s="243"/>
      <c r="G74" s="241"/>
      <c r="H74" s="242"/>
      <c r="I74" s="242"/>
      <c r="J74" s="242"/>
      <c r="K74" s="243"/>
      <c r="L74" s="244"/>
      <c r="M74" s="242"/>
      <c r="N74" s="242"/>
      <c r="O74" s="242"/>
      <c r="P74" s="245"/>
      <c r="Q74" s="241"/>
      <c r="R74" s="242"/>
      <c r="S74" s="242"/>
      <c r="T74" s="242"/>
      <c r="U74" s="243"/>
      <c r="V74" s="128">
        <v>0</v>
      </c>
      <c r="W74" s="101">
        <v>8</v>
      </c>
      <c r="X74" s="101">
        <v>2</v>
      </c>
      <c r="Y74" s="101">
        <v>4</v>
      </c>
      <c r="Z74" s="109">
        <f t="shared" si="97"/>
        <v>8</v>
      </c>
      <c r="AA74" s="128">
        <v>0</v>
      </c>
      <c r="AB74" s="101">
        <v>17</v>
      </c>
      <c r="AC74" s="101">
        <v>4</v>
      </c>
      <c r="AD74" s="101">
        <v>4</v>
      </c>
      <c r="AE74" s="109">
        <f t="shared" si="66"/>
        <v>17</v>
      </c>
      <c r="AF74" s="128">
        <v>0</v>
      </c>
      <c r="AG74" s="101">
        <v>27</v>
      </c>
      <c r="AH74" s="101">
        <f t="shared" si="67"/>
        <v>19</v>
      </c>
      <c r="AI74" s="101">
        <v>7</v>
      </c>
      <c r="AJ74" s="109">
        <f t="shared" si="98"/>
        <v>27</v>
      </c>
      <c r="AK74" s="128">
        <v>0</v>
      </c>
      <c r="AL74" s="101">
        <v>14</v>
      </c>
      <c r="AM74" s="101">
        <f t="shared" si="68"/>
        <v>2</v>
      </c>
      <c r="AN74" s="101">
        <v>8</v>
      </c>
      <c r="AO74" s="109">
        <f t="shared" si="99"/>
        <v>14</v>
      </c>
      <c r="AP74" s="128">
        <v>0</v>
      </c>
      <c r="AQ74" s="101">
        <v>24</v>
      </c>
      <c r="AR74" s="101">
        <f t="shared" si="69"/>
        <v>-3</v>
      </c>
      <c r="AS74" s="101">
        <v>9</v>
      </c>
      <c r="AT74" s="109">
        <f t="shared" si="100"/>
        <v>24</v>
      </c>
      <c r="AU74" s="128">
        <v>0</v>
      </c>
      <c r="AV74" s="101">
        <v>10</v>
      </c>
      <c r="AW74" s="101">
        <f t="shared" si="70"/>
        <v>2</v>
      </c>
      <c r="AX74" s="101">
        <v>6</v>
      </c>
      <c r="AY74" s="109">
        <f t="shared" si="101"/>
        <v>10</v>
      </c>
      <c r="AZ74" s="128">
        <v>0</v>
      </c>
      <c r="BA74" s="101">
        <v>10</v>
      </c>
      <c r="BB74" s="101">
        <v>-1</v>
      </c>
      <c r="BC74" s="101">
        <v>7</v>
      </c>
      <c r="BD74" s="109">
        <f t="shared" si="83"/>
        <v>10</v>
      </c>
      <c r="BE74" s="128">
        <v>0</v>
      </c>
      <c r="BF74" s="101">
        <v>7</v>
      </c>
      <c r="BG74" s="101">
        <f t="shared" si="71"/>
        <v>-1</v>
      </c>
      <c r="BH74" s="101">
        <v>4</v>
      </c>
      <c r="BI74" s="109">
        <f t="shared" si="84"/>
        <v>7</v>
      </c>
      <c r="BJ74" s="128">
        <v>0</v>
      </c>
      <c r="BK74" s="101">
        <v>29</v>
      </c>
      <c r="BL74" s="101">
        <v>0</v>
      </c>
      <c r="BM74" s="101">
        <v>10</v>
      </c>
      <c r="BN74" s="109">
        <f t="shared" si="85"/>
        <v>29</v>
      </c>
      <c r="BO74" s="128">
        <v>39</v>
      </c>
      <c r="BP74" s="101">
        <v>170</v>
      </c>
      <c r="BQ74" s="101"/>
      <c r="BR74" s="101">
        <f t="shared" si="86"/>
        <v>12</v>
      </c>
      <c r="BS74" s="101">
        <v>14</v>
      </c>
      <c r="BT74" s="109">
        <f t="shared" si="87"/>
        <v>209</v>
      </c>
      <c r="BU74" s="128">
        <v>40</v>
      </c>
      <c r="BV74" s="101">
        <v>105</v>
      </c>
      <c r="BW74" s="101"/>
      <c r="BX74" s="101">
        <f t="shared" si="73"/>
        <v>12</v>
      </c>
      <c r="BY74" s="101">
        <v>0</v>
      </c>
      <c r="BZ74" s="109">
        <f t="shared" si="88"/>
        <v>145</v>
      </c>
      <c r="CA74" s="128">
        <v>65</v>
      </c>
      <c r="CB74" s="101">
        <v>152</v>
      </c>
      <c r="CC74" s="101"/>
      <c r="CD74" s="373">
        <f t="shared" si="74"/>
        <v>2</v>
      </c>
      <c r="CE74" s="101">
        <v>11</v>
      </c>
      <c r="CF74" s="109">
        <f t="shared" si="89"/>
        <v>217</v>
      </c>
      <c r="CG74" s="128">
        <v>41</v>
      </c>
      <c r="CH74" s="101">
        <v>152</v>
      </c>
      <c r="CI74" s="101"/>
      <c r="CJ74" s="373">
        <f t="shared" si="75"/>
        <v>-2</v>
      </c>
      <c r="CK74" s="101">
        <v>0</v>
      </c>
      <c r="CL74" s="109">
        <f t="shared" si="90"/>
        <v>193</v>
      </c>
      <c r="CM74" s="128">
        <v>41</v>
      </c>
      <c r="CN74" s="101">
        <v>95</v>
      </c>
      <c r="CO74" s="171"/>
      <c r="CP74" s="373">
        <f t="shared" si="76"/>
        <v>16</v>
      </c>
      <c r="CQ74" s="101">
        <v>0</v>
      </c>
      <c r="CR74" s="109">
        <f t="shared" si="91"/>
        <v>136</v>
      </c>
      <c r="CS74" s="128">
        <v>38</v>
      </c>
      <c r="CT74" s="101">
        <v>126</v>
      </c>
      <c r="CU74" s="101"/>
      <c r="CV74" s="373">
        <f t="shared" si="77"/>
        <v>27</v>
      </c>
      <c r="CW74" s="101">
        <v>2</v>
      </c>
      <c r="CX74" s="109">
        <f t="shared" si="92"/>
        <v>164</v>
      </c>
      <c r="CY74" s="128">
        <v>88</v>
      </c>
      <c r="CZ74" s="101">
        <v>217</v>
      </c>
      <c r="DA74" s="101"/>
      <c r="DB74" s="373">
        <f t="shared" si="78"/>
        <v>28</v>
      </c>
      <c r="DC74" s="101">
        <v>12</v>
      </c>
      <c r="DD74" s="109">
        <f t="shared" si="93"/>
        <v>305</v>
      </c>
      <c r="DE74" s="128">
        <v>140</v>
      </c>
      <c r="DF74" s="101">
        <v>569</v>
      </c>
      <c r="DG74" s="101"/>
      <c r="DH74" s="373">
        <f t="shared" si="79"/>
        <v>52</v>
      </c>
      <c r="DI74" s="101">
        <v>16</v>
      </c>
      <c r="DJ74" s="109">
        <f t="shared" si="94"/>
        <v>709</v>
      </c>
      <c r="DK74" s="128">
        <v>0</v>
      </c>
      <c r="DL74" s="101">
        <v>39</v>
      </c>
      <c r="DM74" s="101"/>
      <c r="DN74" s="373">
        <f t="shared" si="80"/>
        <v>3</v>
      </c>
      <c r="DO74" s="101">
        <v>2</v>
      </c>
      <c r="DP74" s="109">
        <f t="shared" si="95"/>
        <v>39</v>
      </c>
      <c r="DQ74" s="128">
        <v>104</v>
      </c>
      <c r="DR74" s="101">
        <v>213</v>
      </c>
      <c r="DS74" s="101"/>
      <c r="DT74" s="373">
        <f t="shared" si="81"/>
        <v>15</v>
      </c>
      <c r="DU74" s="101">
        <v>12</v>
      </c>
      <c r="DV74" s="109">
        <f>DQ74+DR74</f>
        <v>317</v>
      </c>
      <c r="DW74" s="128">
        <v>114</v>
      </c>
      <c r="DX74" s="101">
        <v>433</v>
      </c>
      <c r="DY74" s="101"/>
      <c r="DZ74" s="373">
        <f t="shared" si="102"/>
        <v>45</v>
      </c>
      <c r="EA74" s="101">
        <v>8</v>
      </c>
      <c r="EB74" s="109">
        <f t="shared" si="96"/>
        <v>547</v>
      </c>
      <c r="EC74" s="128">
        <v>50</v>
      </c>
      <c r="ED74" s="101">
        <v>140</v>
      </c>
      <c r="EE74" s="101"/>
      <c r="EF74" s="373">
        <f t="shared" si="104"/>
        <v>8</v>
      </c>
      <c r="EG74" s="101">
        <v>6</v>
      </c>
      <c r="EH74" s="109">
        <f>EC74+ED74</f>
        <v>190</v>
      </c>
      <c r="EI74" s="128"/>
      <c r="EJ74" s="101"/>
      <c r="EK74" s="101"/>
      <c r="EL74" s="101"/>
      <c r="EM74" s="101"/>
      <c r="EN74" s="109"/>
      <c r="EO74" s="128"/>
      <c r="EP74" s="101"/>
      <c r="EQ74" s="101"/>
      <c r="ER74" s="101"/>
      <c r="ES74" s="101"/>
      <c r="ET74" s="109"/>
      <c r="EU74" s="204"/>
      <c r="EV74" s="204"/>
      <c r="EW74" s="204"/>
      <c r="EX74" s="204"/>
      <c r="EY74" s="204"/>
      <c r="EZ74" s="204"/>
      <c r="FA74" s="128">
        <f>SUM(B74+G74+L74+Q74+V74+AA74+AF74+AK74+AP74+AU74+AZ74+BE74+BJ74+BO74+BU74+CA74+CG74+CM74+CS74+CY74+DE74+DK74+DQ74+DW74+EC74)</f>
        <v>760</v>
      </c>
      <c r="FB74" s="171">
        <f>FF74-FA74</f>
        <v>2557</v>
      </c>
      <c r="FC74" s="171"/>
      <c r="FD74" s="171">
        <f>SUM(D74+I74+N74+S74+X74+AC74+AH74+AM74+AR74+AW74+BB74+BG74+BL74+BR74+BX74+CD74+CJ74+CP74+CV74+DB74+DH74+DN74+DT74+DZ74+EF74)</f>
        <v>242</v>
      </c>
      <c r="FE74" s="171">
        <f t="shared" si="103"/>
        <v>142</v>
      </c>
      <c r="FF74" s="114">
        <f t="shared" si="103"/>
        <v>3317</v>
      </c>
      <c r="FG74" s="239" t="s">
        <v>129</v>
      </c>
      <c r="FH74" s="250" t="s">
        <v>96</v>
      </c>
      <c r="FI74" s="255">
        <v>12</v>
      </c>
      <c r="FJ74" s="255" t="s">
        <v>230</v>
      </c>
    </row>
    <row r="75" spans="1:198" s="358" customFormat="1" x14ac:dyDescent="0.2">
      <c r="A75" s="364" t="s">
        <v>95</v>
      </c>
      <c r="B75" s="365"/>
      <c r="C75" s="366"/>
      <c r="D75" s="366"/>
      <c r="E75" s="366"/>
      <c r="F75" s="367"/>
      <c r="G75" s="365"/>
      <c r="H75" s="366"/>
      <c r="I75" s="366"/>
      <c r="J75" s="366"/>
      <c r="K75" s="367"/>
      <c r="L75" s="368"/>
      <c r="M75" s="366"/>
      <c r="N75" s="366"/>
      <c r="O75" s="366"/>
      <c r="P75" s="369"/>
      <c r="Q75" s="365"/>
      <c r="R75" s="366"/>
      <c r="S75" s="366"/>
      <c r="T75" s="366"/>
      <c r="U75" s="367"/>
      <c r="V75" s="370">
        <v>0</v>
      </c>
      <c r="W75" s="371">
        <v>3</v>
      </c>
      <c r="X75" s="371">
        <f t="shared" ref="X75:X77" si="105">Z74-Y74-W75</f>
        <v>1</v>
      </c>
      <c r="Y75" s="371">
        <v>3</v>
      </c>
      <c r="Z75" s="372">
        <f t="shared" si="97"/>
        <v>3</v>
      </c>
      <c r="AA75" s="370">
        <v>0</v>
      </c>
      <c r="AB75" s="371">
        <v>8</v>
      </c>
      <c r="AC75" s="371">
        <f t="shared" ref="AC75:AC81" si="106">AE74-AD74-AB75</f>
        <v>5</v>
      </c>
      <c r="AD75" s="371">
        <v>2</v>
      </c>
      <c r="AE75" s="372">
        <f t="shared" si="66"/>
        <v>8</v>
      </c>
      <c r="AF75" s="370">
        <v>0</v>
      </c>
      <c r="AG75" s="371">
        <v>18</v>
      </c>
      <c r="AH75" s="371">
        <f t="shared" si="67"/>
        <v>2</v>
      </c>
      <c r="AI75" s="371">
        <v>7</v>
      </c>
      <c r="AJ75" s="372">
        <f t="shared" si="98"/>
        <v>18</v>
      </c>
      <c r="AK75" s="370">
        <v>0</v>
      </c>
      <c r="AL75" s="371">
        <v>6</v>
      </c>
      <c r="AM75" s="371">
        <f t="shared" si="68"/>
        <v>0</v>
      </c>
      <c r="AN75" s="371">
        <v>1</v>
      </c>
      <c r="AO75" s="372">
        <f t="shared" si="99"/>
        <v>6</v>
      </c>
      <c r="AP75" s="370">
        <v>0</v>
      </c>
      <c r="AQ75" s="371">
        <v>10</v>
      </c>
      <c r="AR75" s="371">
        <f t="shared" si="69"/>
        <v>5</v>
      </c>
      <c r="AS75" s="371">
        <v>5</v>
      </c>
      <c r="AT75" s="372">
        <f t="shared" si="100"/>
        <v>10</v>
      </c>
      <c r="AU75" s="370">
        <v>0</v>
      </c>
      <c r="AV75" s="371">
        <v>6</v>
      </c>
      <c r="AW75" s="371">
        <f t="shared" si="70"/>
        <v>-2</v>
      </c>
      <c r="AX75" s="371">
        <v>3</v>
      </c>
      <c r="AY75" s="372">
        <f t="shared" si="101"/>
        <v>6</v>
      </c>
      <c r="AZ75" s="370">
        <v>0</v>
      </c>
      <c r="BA75" s="371">
        <v>0</v>
      </c>
      <c r="BB75" s="371">
        <f t="shared" ref="BB75" si="107">BD74-BC74-BA75</f>
        <v>3</v>
      </c>
      <c r="BC75" s="371">
        <v>0</v>
      </c>
      <c r="BD75" s="372">
        <f t="shared" si="83"/>
        <v>0</v>
      </c>
      <c r="BE75" s="370">
        <v>0</v>
      </c>
      <c r="BF75" s="371">
        <v>2</v>
      </c>
      <c r="BG75" s="371">
        <f>BI74-BH74-BF75</f>
        <v>1</v>
      </c>
      <c r="BH75" s="371">
        <v>0</v>
      </c>
      <c r="BI75" s="372">
        <f t="shared" si="84"/>
        <v>2</v>
      </c>
      <c r="BJ75" s="370">
        <v>0</v>
      </c>
      <c r="BK75" s="371">
        <v>17</v>
      </c>
      <c r="BL75" s="371">
        <f t="shared" si="72"/>
        <v>2</v>
      </c>
      <c r="BM75" s="371">
        <v>10</v>
      </c>
      <c r="BN75" s="372">
        <f t="shared" si="85"/>
        <v>17</v>
      </c>
      <c r="BO75" s="370">
        <v>30</v>
      </c>
      <c r="BP75" s="371">
        <v>187</v>
      </c>
      <c r="BQ75" s="371"/>
      <c r="BR75" s="101">
        <f t="shared" si="86"/>
        <v>8</v>
      </c>
      <c r="BS75" s="371">
        <v>3</v>
      </c>
      <c r="BT75" s="372">
        <f>BO75+BP75</f>
        <v>217</v>
      </c>
      <c r="BU75" s="370">
        <v>13</v>
      </c>
      <c r="BV75" s="371">
        <v>143</v>
      </c>
      <c r="BW75" s="371"/>
      <c r="BX75" s="101">
        <f t="shared" si="73"/>
        <v>2</v>
      </c>
      <c r="BY75" s="371">
        <v>6</v>
      </c>
      <c r="BZ75" s="372">
        <f t="shared" si="88"/>
        <v>156</v>
      </c>
      <c r="CA75" s="370">
        <v>14</v>
      </c>
      <c r="CB75" s="371">
        <v>181</v>
      </c>
      <c r="CC75" s="371"/>
      <c r="CD75" s="373">
        <f t="shared" si="74"/>
        <v>25</v>
      </c>
      <c r="CE75" s="371">
        <v>6</v>
      </c>
      <c r="CF75" s="372">
        <f t="shared" si="89"/>
        <v>195</v>
      </c>
      <c r="CG75" s="370">
        <v>0</v>
      </c>
      <c r="CH75" s="371">
        <v>177</v>
      </c>
      <c r="CI75" s="371"/>
      <c r="CJ75" s="373">
        <f t="shared" si="75"/>
        <v>16</v>
      </c>
      <c r="CK75" s="371">
        <v>5</v>
      </c>
      <c r="CL75" s="372">
        <f t="shared" si="90"/>
        <v>177</v>
      </c>
      <c r="CM75" s="370">
        <v>14</v>
      </c>
      <c r="CN75" s="371">
        <v>118</v>
      </c>
      <c r="CO75" s="371"/>
      <c r="CP75" s="373">
        <f t="shared" si="76"/>
        <v>18</v>
      </c>
      <c r="CQ75" s="371">
        <v>6</v>
      </c>
      <c r="CR75" s="372">
        <f t="shared" si="91"/>
        <v>132</v>
      </c>
      <c r="CS75" s="370">
        <v>23</v>
      </c>
      <c r="CT75" s="371">
        <v>152</v>
      </c>
      <c r="CU75" s="371"/>
      <c r="CV75" s="373">
        <f t="shared" si="77"/>
        <v>10</v>
      </c>
      <c r="CW75" s="371">
        <v>0</v>
      </c>
      <c r="CX75" s="372">
        <f t="shared" si="92"/>
        <v>175</v>
      </c>
      <c r="CY75" s="370">
        <v>27</v>
      </c>
      <c r="CZ75" s="371">
        <v>269</v>
      </c>
      <c r="DA75" s="371"/>
      <c r="DB75" s="373">
        <f t="shared" si="78"/>
        <v>24</v>
      </c>
      <c r="DC75" s="371">
        <v>10</v>
      </c>
      <c r="DD75" s="372">
        <f t="shared" si="93"/>
        <v>296</v>
      </c>
      <c r="DE75" s="370">
        <v>120</v>
      </c>
      <c r="DF75" s="371">
        <v>642</v>
      </c>
      <c r="DG75" s="371"/>
      <c r="DH75" s="373">
        <f t="shared" si="79"/>
        <v>51</v>
      </c>
      <c r="DI75" s="371">
        <v>34</v>
      </c>
      <c r="DJ75" s="372">
        <f t="shared" si="94"/>
        <v>762</v>
      </c>
      <c r="DK75" s="370">
        <v>0</v>
      </c>
      <c r="DL75" s="371">
        <v>36</v>
      </c>
      <c r="DM75" s="371"/>
      <c r="DN75" s="373">
        <f t="shared" si="80"/>
        <v>1</v>
      </c>
      <c r="DO75" s="371">
        <v>0</v>
      </c>
      <c r="DP75" s="372">
        <f t="shared" si="95"/>
        <v>36</v>
      </c>
      <c r="DQ75" s="370">
        <v>45</v>
      </c>
      <c r="DR75" s="371">
        <v>276</v>
      </c>
      <c r="DS75" s="371"/>
      <c r="DT75" s="373">
        <f t="shared" si="81"/>
        <v>29</v>
      </c>
      <c r="DU75" s="371">
        <v>5</v>
      </c>
      <c r="DV75" s="372">
        <f>DQ75+DR75</f>
        <v>321</v>
      </c>
      <c r="DW75" s="370">
        <v>41</v>
      </c>
      <c r="DX75" s="371">
        <v>514</v>
      </c>
      <c r="DY75" s="371"/>
      <c r="DZ75" s="373">
        <f t="shared" si="102"/>
        <v>25</v>
      </c>
      <c r="EA75" s="371">
        <v>13</v>
      </c>
      <c r="EB75" s="372">
        <f t="shared" si="96"/>
        <v>555</v>
      </c>
      <c r="EC75" s="370">
        <v>23</v>
      </c>
      <c r="ED75" s="371">
        <v>167</v>
      </c>
      <c r="EE75" s="371"/>
      <c r="EF75" s="373">
        <f t="shared" si="104"/>
        <v>17</v>
      </c>
      <c r="EG75" s="371">
        <v>6</v>
      </c>
      <c r="EH75" s="372">
        <f>EC75+ED75</f>
        <v>190</v>
      </c>
      <c r="EI75" s="370"/>
      <c r="EJ75" s="371"/>
      <c r="EK75" s="371"/>
      <c r="EL75" s="371"/>
      <c r="EM75" s="371"/>
      <c r="EN75" s="372"/>
      <c r="EO75" s="370"/>
      <c r="EP75" s="371"/>
      <c r="EQ75" s="371"/>
      <c r="ER75" s="371"/>
      <c r="ES75" s="371"/>
      <c r="ET75" s="372"/>
      <c r="EU75" s="404"/>
      <c r="EV75" s="404"/>
      <c r="EW75" s="404"/>
      <c r="EX75" s="404"/>
      <c r="EY75" s="404"/>
      <c r="EZ75" s="404"/>
      <c r="FA75" s="370">
        <f>SUM(B75+G75+L75+Q75+V75+AA75+AF75+AK75+AP75+AU75+AZ75+BE75+BJ75+BO75+BU75+CA75+CG75+CM75+CS75+CY75+DE75+DK75+DQ75+DW75+EC75)</f>
        <v>350</v>
      </c>
      <c r="FB75" s="373">
        <f>FF75-FA75</f>
        <v>2932</v>
      </c>
      <c r="FC75" s="373"/>
      <c r="FD75" s="373">
        <f>SUM(D75+I75+N75+S75+X75+AC75+AH75+AM75+AR75+AW75+BB75+BG75+BL75+BR75+BX75+CD75+CJ75+CP75+CV75+DB75+DH75+DN75+DT75+DZ75+EF75)</f>
        <v>243</v>
      </c>
      <c r="FE75" s="373">
        <f t="shared" si="103"/>
        <v>125</v>
      </c>
      <c r="FF75" s="114">
        <f t="shared" si="103"/>
        <v>3282</v>
      </c>
      <c r="FG75" s="374" t="s">
        <v>126</v>
      </c>
      <c r="FH75" s="364" t="s">
        <v>95</v>
      </c>
      <c r="FI75" s="321">
        <v>4</v>
      </c>
      <c r="FJ75" s="321" t="s">
        <v>230</v>
      </c>
      <c r="FK75" s="321"/>
      <c r="FL75" s="321"/>
      <c r="FM75" s="321"/>
      <c r="FN75" s="321"/>
      <c r="FO75" s="321"/>
      <c r="FP75" s="321"/>
    </row>
    <row r="76" spans="1:198" s="358" customFormat="1" x14ac:dyDescent="0.2">
      <c r="A76" s="364" t="s">
        <v>98</v>
      </c>
      <c r="B76" s="366"/>
      <c r="C76" s="366"/>
      <c r="D76" s="366"/>
      <c r="E76" s="366"/>
      <c r="F76" s="366"/>
      <c r="G76" s="366"/>
      <c r="H76" s="366"/>
      <c r="I76" s="366"/>
      <c r="J76" s="366"/>
      <c r="K76" s="366"/>
      <c r="L76" s="366"/>
      <c r="M76" s="366"/>
      <c r="N76" s="366"/>
      <c r="O76" s="366"/>
      <c r="P76" s="366"/>
      <c r="Q76" s="366"/>
      <c r="R76" s="366"/>
      <c r="S76" s="366"/>
      <c r="T76" s="366"/>
      <c r="U76" s="366"/>
      <c r="V76" s="373">
        <v>0</v>
      </c>
      <c r="W76" s="371">
        <v>3</v>
      </c>
      <c r="X76" s="371">
        <f>Z75-Y75-W76</f>
        <v>-3</v>
      </c>
      <c r="Y76" s="371">
        <v>2</v>
      </c>
      <c r="Z76" s="372">
        <f t="shared" si="97"/>
        <v>3</v>
      </c>
      <c r="AA76" s="370">
        <v>0</v>
      </c>
      <c r="AB76" s="371">
        <v>9</v>
      </c>
      <c r="AC76" s="371">
        <f t="shared" si="106"/>
        <v>-3</v>
      </c>
      <c r="AD76" s="371">
        <v>3</v>
      </c>
      <c r="AE76" s="372">
        <f t="shared" si="66"/>
        <v>9</v>
      </c>
      <c r="AF76" s="370">
        <v>0</v>
      </c>
      <c r="AG76" s="371">
        <v>17</v>
      </c>
      <c r="AH76" s="371">
        <f t="shared" ref="AH76:AH83" si="108">AJ75-AI75-AG76</f>
        <v>-6</v>
      </c>
      <c r="AI76" s="371">
        <v>7</v>
      </c>
      <c r="AJ76" s="372">
        <f t="shared" si="98"/>
        <v>17</v>
      </c>
      <c r="AK76" s="370">
        <v>0</v>
      </c>
      <c r="AL76" s="371">
        <v>4</v>
      </c>
      <c r="AM76" s="371">
        <f>AO75-AN75-AL76</f>
        <v>1</v>
      </c>
      <c r="AN76" s="371">
        <v>2</v>
      </c>
      <c r="AO76" s="372">
        <f t="shared" si="99"/>
        <v>4</v>
      </c>
      <c r="AP76" s="370">
        <v>0</v>
      </c>
      <c r="AQ76" s="371">
        <v>4</v>
      </c>
      <c r="AR76" s="371">
        <f>AT75-AS75-AQ76</f>
        <v>1</v>
      </c>
      <c r="AS76" s="371">
        <v>1</v>
      </c>
      <c r="AT76" s="372">
        <f>AP76+AQ76</f>
        <v>4</v>
      </c>
      <c r="AU76" s="370">
        <v>0</v>
      </c>
      <c r="AV76" s="371">
        <v>1</v>
      </c>
      <c r="AW76" s="371">
        <f>AY75-AX75-AV76</f>
        <v>2</v>
      </c>
      <c r="AX76" s="371">
        <v>0</v>
      </c>
      <c r="AY76" s="372">
        <f t="shared" si="101"/>
        <v>1</v>
      </c>
      <c r="AZ76" s="370">
        <v>0</v>
      </c>
      <c r="BA76" s="371">
        <v>1</v>
      </c>
      <c r="BB76" s="371">
        <f>BD75-BC75-BA76</f>
        <v>-1</v>
      </c>
      <c r="BC76" s="371">
        <v>0</v>
      </c>
      <c r="BD76" s="372">
        <f t="shared" si="83"/>
        <v>1</v>
      </c>
      <c r="BE76" s="370">
        <v>0</v>
      </c>
      <c r="BF76" s="371">
        <v>2</v>
      </c>
      <c r="BG76" s="371">
        <f>BI75-BH75-BF76</f>
        <v>0</v>
      </c>
      <c r="BH76" s="371">
        <v>1</v>
      </c>
      <c r="BI76" s="372">
        <f t="shared" si="84"/>
        <v>2</v>
      </c>
      <c r="BJ76" s="370">
        <v>0</v>
      </c>
      <c r="BK76" s="371">
        <v>11</v>
      </c>
      <c r="BL76" s="371">
        <f t="shared" ref="BL76:BL81" si="109">BN75-BM75-BK76</f>
        <v>-4</v>
      </c>
      <c r="BM76" s="371">
        <v>6</v>
      </c>
      <c r="BN76" s="372">
        <f t="shared" si="85"/>
        <v>11</v>
      </c>
      <c r="BO76" s="370">
        <v>43</v>
      </c>
      <c r="BP76" s="371">
        <v>196</v>
      </c>
      <c r="BQ76" s="371">
        <v>1</v>
      </c>
      <c r="BR76" s="101">
        <f t="shared" si="86"/>
        <v>18</v>
      </c>
      <c r="BS76" s="371">
        <v>21</v>
      </c>
      <c r="BT76" s="372">
        <f>BO76+BP76+BQ76</f>
        <v>240</v>
      </c>
      <c r="BU76" s="370">
        <v>33</v>
      </c>
      <c r="BV76" s="371">
        <v>133</v>
      </c>
      <c r="BW76" s="371">
        <v>0</v>
      </c>
      <c r="BX76" s="101">
        <f t="shared" si="73"/>
        <v>17</v>
      </c>
      <c r="BY76" s="371">
        <v>7</v>
      </c>
      <c r="BZ76" s="372">
        <f>BU76+BV76+BW76</f>
        <v>166</v>
      </c>
      <c r="CA76" s="370">
        <v>36</v>
      </c>
      <c r="CB76" s="371">
        <v>172</v>
      </c>
      <c r="CC76" s="371">
        <v>0</v>
      </c>
      <c r="CD76" s="373">
        <f t="shared" si="74"/>
        <v>17</v>
      </c>
      <c r="CE76" s="371">
        <v>2</v>
      </c>
      <c r="CF76" s="372">
        <f>CA76+CB76+CC76</f>
        <v>208</v>
      </c>
      <c r="CG76" s="370">
        <v>35</v>
      </c>
      <c r="CH76" s="371">
        <v>173</v>
      </c>
      <c r="CI76" s="371">
        <v>3</v>
      </c>
      <c r="CJ76" s="373">
        <f t="shared" si="75"/>
        <v>-1</v>
      </c>
      <c r="CK76" s="371">
        <v>6</v>
      </c>
      <c r="CL76" s="372">
        <f>CG76+CH76+CI76</f>
        <v>211</v>
      </c>
      <c r="CM76" s="370">
        <v>35</v>
      </c>
      <c r="CN76" s="371">
        <v>115</v>
      </c>
      <c r="CO76" s="371">
        <v>1</v>
      </c>
      <c r="CP76" s="373">
        <f t="shared" si="76"/>
        <v>11</v>
      </c>
      <c r="CQ76" s="371">
        <v>5</v>
      </c>
      <c r="CR76" s="372">
        <f>CM76+CN76+CO76</f>
        <v>151</v>
      </c>
      <c r="CS76" s="370">
        <v>37</v>
      </c>
      <c r="CT76" s="371">
        <v>161</v>
      </c>
      <c r="CU76" s="371">
        <v>2</v>
      </c>
      <c r="CV76" s="373">
        <f t="shared" si="77"/>
        <v>14</v>
      </c>
      <c r="CW76" s="371">
        <v>5</v>
      </c>
      <c r="CX76" s="372">
        <f>CS76+CT76+CU76</f>
        <v>200</v>
      </c>
      <c r="CY76" s="370">
        <v>94</v>
      </c>
      <c r="CZ76" s="371">
        <v>231</v>
      </c>
      <c r="DA76" s="371">
        <v>2</v>
      </c>
      <c r="DB76" s="373">
        <f t="shared" si="78"/>
        <v>55</v>
      </c>
      <c r="DC76" s="371">
        <v>16</v>
      </c>
      <c r="DD76" s="372">
        <f>CY76+CZ76+DA76</f>
        <v>327</v>
      </c>
      <c r="DE76" s="370">
        <v>145</v>
      </c>
      <c r="DF76" s="371">
        <v>666</v>
      </c>
      <c r="DG76" s="371">
        <v>7</v>
      </c>
      <c r="DH76" s="373">
        <f t="shared" si="79"/>
        <v>62</v>
      </c>
      <c r="DI76" s="371">
        <v>29</v>
      </c>
      <c r="DJ76" s="372">
        <f>DE76+DF76+DG76</f>
        <v>818</v>
      </c>
      <c r="DK76" s="370">
        <v>0</v>
      </c>
      <c r="DL76" s="371">
        <v>34</v>
      </c>
      <c r="DM76" s="371">
        <v>0</v>
      </c>
      <c r="DN76" s="373">
        <f t="shared" si="80"/>
        <v>2</v>
      </c>
      <c r="DO76" s="371">
        <v>4</v>
      </c>
      <c r="DP76" s="372">
        <f>DK76+DL76+DM76</f>
        <v>34</v>
      </c>
      <c r="DQ76" s="370">
        <v>111</v>
      </c>
      <c r="DR76" s="371">
        <v>287</v>
      </c>
      <c r="DS76" s="371">
        <v>3</v>
      </c>
      <c r="DT76" s="373">
        <f t="shared" si="81"/>
        <v>29</v>
      </c>
      <c r="DU76" s="371">
        <v>1</v>
      </c>
      <c r="DV76" s="372">
        <f>DQ76+DR76+DS76</f>
        <v>401</v>
      </c>
      <c r="DW76" s="370">
        <v>108</v>
      </c>
      <c r="DX76" s="371">
        <v>510</v>
      </c>
      <c r="DY76" s="371">
        <v>5</v>
      </c>
      <c r="DZ76" s="373">
        <f t="shared" si="102"/>
        <v>32</v>
      </c>
      <c r="EA76" s="371">
        <v>33</v>
      </c>
      <c r="EB76" s="372">
        <f>DW76+DX76+DY76</f>
        <v>623</v>
      </c>
      <c r="EC76" s="370">
        <v>37</v>
      </c>
      <c r="ED76" s="371">
        <v>160</v>
      </c>
      <c r="EE76" s="371">
        <v>2</v>
      </c>
      <c r="EF76" s="373">
        <f t="shared" si="104"/>
        <v>24</v>
      </c>
      <c r="EG76" s="371">
        <v>18</v>
      </c>
      <c r="EH76" s="372">
        <f>EC76+ED76+EE76</f>
        <v>199</v>
      </c>
      <c r="EI76" s="370"/>
      <c r="EJ76" s="371"/>
      <c r="EK76" s="371"/>
      <c r="EL76" s="371"/>
      <c r="EM76" s="371"/>
      <c r="EN76" s="372"/>
      <c r="EO76" s="370"/>
      <c r="EP76" s="371"/>
      <c r="EQ76" s="371"/>
      <c r="ER76" s="371"/>
      <c r="ES76" s="371"/>
      <c r="ET76" s="372"/>
      <c r="EU76" s="404"/>
      <c r="EV76" s="404"/>
      <c r="EW76" s="404"/>
      <c r="EX76" s="404"/>
      <c r="EY76" s="404"/>
      <c r="EZ76" s="404"/>
      <c r="FA76" s="370">
        <f>SUM(B76+G76+L76+Q76+V76+AA76+AF76+AK76+AP76+AU76+AZ76+BE76+BJ76+BO76+BU76+CA76+CG76+CM76+CS76+CY76+DE76+DK76+DQ76+DW76+EC76)</f>
        <v>714</v>
      </c>
      <c r="FB76" s="371">
        <f>SUM(C76+H76+M76+R76+W76+AB76+AG76+AL76+AQ76+AV76+BA76+BF76+BK76+BP76+BV76+CB76+CH76+CN76+CT76+CZ76+DF76+DL76+DR76+DX76+ED76)</f>
        <v>2890</v>
      </c>
      <c r="FC76" s="370">
        <f>SUM(BQ76+BW76+CC76+CI76+CO76+CU76+DA76+DG76+DM76+DS76+DY76+EE76)</f>
        <v>26</v>
      </c>
      <c r="FD76" s="373">
        <f>SUM(D76+I76+N76+S76+X76+AC76+AH76+AM76+AR76+AW76+BB76+BG76+BL76+BR76+BX76+CD76+CJ76+CP76+CV76+DB76+DH76+DN76+DT76+DZ76+EF76)</f>
        <v>267</v>
      </c>
      <c r="FE76" s="373">
        <f t="shared" si="103"/>
        <v>169</v>
      </c>
      <c r="FF76" s="377">
        <f t="shared" si="103"/>
        <v>3630</v>
      </c>
      <c r="FG76" s="374" t="s">
        <v>130</v>
      </c>
      <c r="FH76" s="364" t="s">
        <v>98</v>
      </c>
      <c r="FI76" s="321">
        <v>5</v>
      </c>
      <c r="FJ76" s="321" t="s">
        <v>230</v>
      </c>
      <c r="FK76" s="321"/>
      <c r="FL76" s="321"/>
      <c r="FM76" s="321"/>
      <c r="FN76" s="321"/>
      <c r="FO76" s="321"/>
      <c r="FP76" s="321"/>
    </row>
    <row r="77" spans="1:198" s="358" customFormat="1" x14ac:dyDescent="0.2">
      <c r="A77" s="364" t="s">
        <v>99</v>
      </c>
      <c r="B77" s="366"/>
      <c r="C77" s="366"/>
      <c r="D77" s="366"/>
      <c r="E77" s="366"/>
      <c r="F77" s="366"/>
      <c r="G77" s="366"/>
      <c r="H77" s="366"/>
      <c r="I77" s="366"/>
      <c r="J77" s="366"/>
      <c r="K77" s="366"/>
      <c r="L77" s="366"/>
      <c r="M77" s="366"/>
      <c r="N77" s="366"/>
      <c r="O77" s="366"/>
      <c r="P77" s="366"/>
      <c r="Q77" s="366"/>
      <c r="R77" s="366"/>
      <c r="S77" s="366"/>
      <c r="T77" s="366"/>
      <c r="U77" s="366"/>
      <c r="V77" s="373">
        <v>0</v>
      </c>
      <c r="W77" s="371">
        <v>0</v>
      </c>
      <c r="X77" s="371">
        <f t="shared" si="105"/>
        <v>1</v>
      </c>
      <c r="Y77" s="371">
        <v>0</v>
      </c>
      <c r="Z77" s="372">
        <f t="shared" si="97"/>
        <v>0</v>
      </c>
      <c r="AA77" s="370">
        <v>0</v>
      </c>
      <c r="AB77" s="372">
        <v>5</v>
      </c>
      <c r="AC77" s="371">
        <f t="shared" si="106"/>
        <v>1</v>
      </c>
      <c r="AD77" s="372">
        <v>1</v>
      </c>
      <c r="AE77" s="372">
        <f t="shared" si="66"/>
        <v>5</v>
      </c>
      <c r="AF77" s="370">
        <v>0</v>
      </c>
      <c r="AG77" s="371">
        <v>7</v>
      </c>
      <c r="AH77" s="371">
        <f t="shared" si="108"/>
        <v>3</v>
      </c>
      <c r="AI77" s="372">
        <v>7</v>
      </c>
      <c r="AJ77" s="372">
        <f t="shared" si="98"/>
        <v>7</v>
      </c>
      <c r="AK77" s="370">
        <v>0</v>
      </c>
      <c r="AL77" s="372">
        <v>1</v>
      </c>
      <c r="AM77" s="371">
        <f>AO76-AN76-AL77</f>
        <v>1</v>
      </c>
      <c r="AN77" s="372">
        <v>0</v>
      </c>
      <c r="AO77" s="372">
        <f t="shared" si="99"/>
        <v>1</v>
      </c>
      <c r="AP77" s="370">
        <v>0</v>
      </c>
      <c r="AQ77" s="371">
        <v>1</v>
      </c>
      <c r="AR77" s="371">
        <f>AT76-AS76-AQ77</f>
        <v>2</v>
      </c>
      <c r="AS77" s="372">
        <v>0</v>
      </c>
      <c r="AT77" s="372">
        <f t="shared" si="100"/>
        <v>1</v>
      </c>
      <c r="AU77" s="370">
        <v>0</v>
      </c>
      <c r="AV77" s="371">
        <v>1</v>
      </c>
      <c r="AW77" s="371">
        <f>AY76-AX76-AV77</f>
        <v>0</v>
      </c>
      <c r="AX77" s="372">
        <v>0</v>
      </c>
      <c r="AY77" s="372">
        <f t="shared" si="101"/>
        <v>1</v>
      </c>
      <c r="AZ77" s="370">
        <v>0</v>
      </c>
      <c r="BA77" s="371">
        <v>0</v>
      </c>
      <c r="BB77" s="371">
        <f>BD76-BC76-BA77</f>
        <v>1</v>
      </c>
      <c r="BC77" s="371">
        <v>0</v>
      </c>
      <c r="BD77" s="372">
        <f t="shared" si="83"/>
        <v>0</v>
      </c>
      <c r="BE77" s="370">
        <v>0</v>
      </c>
      <c r="BF77" s="370">
        <v>2</v>
      </c>
      <c r="BG77" s="371">
        <f>BI76-BH76-BF77</f>
        <v>-1</v>
      </c>
      <c r="BH77" s="372">
        <v>2</v>
      </c>
      <c r="BI77" s="372">
        <f t="shared" si="84"/>
        <v>2</v>
      </c>
      <c r="BJ77" s="370">
        <v>0</v>
      </c>
      <c r="BK77" s="371">
        <v>5</v>
      </c>
      <c r="BL77" s="371">
        <f t="shared" si="109"/>
        <v>0</v>
      </c>
      <c r="BM77" s="371">
        <v>4</v>
      </c>
      <c r="BN77" s="372">
        <f t="shared" si="85"/>
        <v>5</v>
      </c>
      <c r="BO77" s="372">
        <v>23</v>
      </c>
      <c r="BP77" s="372">
        <f>227-23-2</f>
        <v>202</v>
      </c>
      <c r="BQ77" s="371">
        <v>2</v>
      </c>
      <c r="BR77" s="101">
        <f t="shared" si="86"/>
        <v>17</v>
      </c>
      <c r="BS77" s="372">
        <v>8</v>
      </c>
      <c r="BT77" s="372">
        <f>BO77+BP77+BQ77</f>
        <v>227</v>
      </c>
      <c r="BU77" s="372">
        <v>23</v>
      </c>
      <c r="BV77" s="372">
        <f>169-23</f>
        <v>146</v>
      </c>
      <c r="BW77" s="371">
        <v>0</v>
      </c>
      <c r="BX77" s="101">
        <f t="shared" si="73"/>
        <v>13</v>
      </c>
      <c r="BY77" s="372">
        <v>3</v>
      </c>
      <c r="BZ77" s="372">
        <f>BU77+BV77+BW77</f>
        <v>169</v>
      </c>
      <c r="CA77" s="371">
        <v>15</v>
      </c>
      <c r="CB77" s="371">
        <f>198-15-1</f>
        <v>182</v>
      </c>
      <c r="CC77" s="371">
        <v>1</v>
      </c>
      <c r="CD77" s="373">
        <f t="shared" si="74"/>
        <v>24</v>
      </c>
      <c r="CE77" s="372">
        <v>2</v>
      </c>
      <c r="CF77" s="372">
        <f>CA77+CB77+CC77</f>
        <v>198</v>
      </c>
      <c r="CG77" s="371">
        <v>14</v>
      </c>
      <c r="CH77" s="371">
        <f>216-5-14-2</f>
        <v>195</v>
      </c>
      <c r="CI77" s="371">
        <v>2</v>
      </c>
      <c r="CJ77" s="373">
        <f t="shared" si="75"/>
        <v>10</v>
      </c>
      <c r="CK77" s="371">
        <v>13</v>
      </c>
      <c r="CL77" s="372">
        <f>CG77+CH77+CI77</f>
        <v>211</v>
      </c>
      <c r="CM77" s="371">
        <v>7</v>
      </c>
      <c r="CN77" s="371">
        <f>140-7</f>
        <v>133</v>
      </c>
      <c r="CO77" s="371"/>
      <c r="CP77" s="373">
        <f t="shared" si="76"/>
        <v>13</v>
      </c>
      <c r="CQ77" s="371">
        <v>6</v>
      </c>
      <c r="CR77" s="372">
        <f>CM77+CN77+CO77</f>
        <v>140</v>
      </c>
      <c r="CS77" s="371">
        <v>27</v>
      </c>
      <c r="CT77" s="371">
        <f>204-27</f>
        <v>177</v>
      </c>
      <c r="CU77" s="371">
        <v>0</v>
      </c>
      <c r="CV77" s="373">
        <f t="shared" si="77"/>
        <v>18</v>
      </c>
      <c r="CW77" s="371">
        <v>1</v>
      </c>
      <c r="CX77" s="372">
        <f>CS77+CT77+CU77</f>
        <v>204</v>
      </c>
      <c r="CY77" s="372">
        <v>24</v>
      </c>
      <c r="CZ77" s="372">
        <f>299-5-24</f>
        <v>270</v>
      </c>
      <c r="DA77" s="371">
        <v>5</v>
      </c>
      <c r="DB77" s="373">
        <f t="shared" si="78"/>
        <v>41</v>
      </c>
      <c r="DC77" s="372">
        <v>17</v>
      </c>
      <c r="DD77" s="372">
        <f>CY77+CZ77+DA77</f>
        <v>299</v>
      </c>
      <c r="DE77" s="371">
        <v>118</v>
      </c>
      <c r="DF77" s="371">
        <f>884-118-3-7</f>
        <v>756</v>
      </c>
      <c r="DG77" s="371">
        <v>3</v>
      </c>
      <c r="DH77" s="373">
        <f t="shared" si="79"/>
        <v>33</v>
      </c>
      <c r="DI77" s="371">
        <f>11+14+27+5</f>
        <v>57</v>
      </c>
      <c r="DJ77" s="372">
        <f>DE77+DF77+DG77</f>
        <v>877</v>
      </c>
      <c r="DK77" s="371">
        <v>0</v>
      </c>
      <c r="DL77" s="371">
        <v>30</v>
      </c>
      <c r="DM77" s="371">
        <v>0</v>
      </c>
      <c r="DN77" s="373">
        <f t="shared" si="80"/>
        <v>0</v>
      </c>
      <c r="DO77" s="371">
        <v>4</v>
      </c>
      <c r="DP77" s="371">
        <f t="shared" ref="DP77:DP140" si="110">DK77+DL77+DM77</f>
        <v>30</v>
      </c>
      <c r="DQ77" s="372">
        <v>41</v>
      </c>
      <c r="DR77" s="372">
        <f>409-1-41-6</f>
        <v>361</v>
      </c>
      <c r="DS77" s="371">
        <v>6</v>
      </c>
      <c r="DT77" s="373">
        <f t="shared" si="81"/>
        <v>39</v>
      </c>
      <c r="DU77" s="372">
        <v>10</v>
      </c>
      <c r="DV77" s="372">
        <f>DQ77+DR77+DS77</f>
        <v>408</v>
      </c>
      <c r="DW77" s="371">
        <v>39</v>
      </c>
      <c r="DX77" s="371">
        <f>595-39-2-5</f>
        <v>549</v>
      </c>
      <c r="DY77" s="371">
        <v>2</v>
      </c>
      <c r="DZ77" s="373">
        <f t="shared" si="102"/>
        <v>41</v>
      </c>
      <c r="EA77" s="371">
        <f>41-4</f>
        <v>37</v>
      </c>
      <c r="EB77" s="372">
        <f>DW77+DX77+DY77</f>
        <v>590</v>
      </c>
      <c r="EC77" s="372">
        <v>37</v>
      </c>
      <c r="ED77" s="372">
        <f>206-37-2-2</f>
        <v>165</v>
      </c>
      <c r="EE77" s="371">
        <v>2</v>
      </c>
      <c r="EF77" s="373">
        <f t="shared" si="104"/>
        <v>16</v>
      </c>
      <c r="EG77" s="372">
        <v>6</v>
      </c>
      <c r="EH77" s="372">
        <f>EC77+ED77+EE77</f>
        <v>204</v>
      </c>
      <c r="EI77" s="370"/>
      <c r="EJ77" s="371"/>
      <c r="EK77" s="371"/>
      <c r="EL77" s="371"/>
      <c r="EM77" s="371"/>
      <c r="EN77" s="372"/>
      <c r="EO77" s="370"/>
      <c r="EP77" s="371"/>
      <c r="EQ77" s="371"/>
      <c r="ER77" s="371"/>
      <c r="ES77" s="371">
        <v>1</v>
      </c>
      <c r="ET77" s="372"/>
      <c r="EU77" s="404"/>
      <c r="EV77" s="404"/>
      <c r="EW77" s="404"/>
      <c r="EX77" s="404"/>
      <c r="EY77" s="404"/>
      <c r="EZ77" s="404"/>
      <c r="FA77" s="370">
        <f>SUM(B77+G77+L77+Q77+V77+AA77+AF77+AK77+AP77+AU77+AZ77+BE77+BJ77+BO77+BU77+CA77+CG77+CM77+CS77+CY77+DE77+DK77+DQ77+DW77+EC77)</f>
        <v>368</v>
      </c>
      <c r="FB77" s="373">
        <f>+ED77+DX77+DR77+DL77+DF77+CZ77+CT77+CN77+CH77+CB77+BV77+BP77+BK77+BF77+BA77+AV77+AQ77+AL77+AG77+AB77+W77</f>
        <v>3188</v>
      </c>
      <c r="FC77" s="373">
        <f>SUM(BQ77+BW77+CC77+CI77+CO77+CU77+DA77+DG77+DM77+DS77+DY77+EE77)</f>
        <v>23</v>
      </c>
      <c r="FD77" s="373">
        <f>SUM(D77+I77+N77+S77+X77+AC77+AH77+AM77+AR77+AW77+BB77+BG77+BL77+BR77+BX77+CD77+CJ77+CP77+CV77+DB77+DH77+DN77+DT77+DZ77+EF77)</f>
        <v>273</v>
      </c>
      <c r="FE77" s="373">
        <f>SUM(E77+J77+O77+T77+Y77+AD77+AI77+AN77+AS77+AX77+BC77+BH77+BM77+BS77+BY77+CE77+CK77+CQ77+CW77+DC77+DI77+DO77+DU77+EA77+EG77+ES77)</f>
        <v>179</v>
      </c>
      <c r="FF77" s="377">
        <f>SUM(F77+K77+P77+U77+Z77+AE77+AJ77+AO77+AT77+AY77+BD77+BI77+BN77+BT77+BZ77+CF77+CL77+CR77+CX77+DD77+DJ77+DP77+DV77+EB77+EH77)</f>
        <v>3579</v>
      </c>
      <c r="FG77" s="374" t="s">
        <v>127</v>
      </c>
      <c r="FH77" s="364" t="s">
        <v>99</v>
      </c>
      <c r="FI77" s="321">
        <v>4</v>
      </c>
      <c r="FJ77" s="321" t="s">
        <v>230</v>
      </c>
      <c r="FK77" s="321">
        <f>4066-4058</f>
        <v>8</v>
      </c>
      <c r="FL77" s="321"/>
      <c r="FM77" s="321"/>
      <c r="FN77" s="321"/>
      <c r="FO77" s="321"/>
      <c r="FP77" s="321"/>
    </row>
    <row r="78" spans="1:198" s="358" customFormat="1" x14ac:dyDescent="0.2">
      <c r="A78" s="364" t="s">
        <v>100</v>
      </c>
      <c r="B78" s="366"/>
      <c r="C78" s="366"/>
      <c r="D78" s="366"/>
      <c r="E78" s="366"/>
      <c r="F78" s="366"/>
      <c r="G78" s="366"/>
      <c r="H78" s="366"/>
      <c r="I78" s="366"/>
      <c r="J78" s="366"/>
      <c r="K78" s="366"/>
      <c r="L78" s="366"/>
      <c r="M78" s="366"/>
      <c r="N78" s="366"/>
      <c r="O78" s="366"/>
      <c r="P78" s="366"/>
      <c r="Q78" s="366"/>
      <c r="R78" s="366"/>
      <c r="S78" s="366"/>
      <c r="T78" s="366"/>
      <c r="U78" s="366"/>
      <c r="V78" s="373">
        <v>0</v>
      </c>
      <c r="W78" s="371">
        <v>2</v>
      </c>
      <c r="X78" s="371">
        <f>Z77-Y77-W78</f>
        <v>-2</v>
      </c>
      <c r="Y78" s="371">
        <v>0</v>
      </c>
      <c r="Z78" s="372">
        <f>V78+W78</f>
        <v>2</v>
      </c>
      <c r="AA78" s="370">
        <v>0</v>
      </c>
      <c r="AB78" s="371">
        <v>3</v>
      </c>
      <c r="AC78" s="371">
        <f t="shared" si="106"/>
        <v>1</v>
      </c>
      <c r="AD78" s="371">
        <v>3</v>
      </c>
      <c r="AE78" s="372">
        <f t="shared" si="66"/>
        <v>3</v>
      </c>
      <c r="AF78" s="370">
        <v>0</v>
      </c>
      <c r="AG78" s="371">
        <v>2</v>
      </c>
      <c r="AH78" s="371">
        <f t="shared" si="108"/>
        <v>-2</v>
      </c>
      <c r="AI78" s="371">
        <v>1</v>
      </c>
      <c r="AJ78" s="372">
        <f t="shared" si="98"/>
        <v>2</v>
      </c>
      <c r="AK78" s="370">
        <v>0</v>
      </c>
      <c r="AL78" s="371">
        <v>0</v>
      </c>
      <c r="AM78" s="371">
        <f>AO77-AN77-AL78</f>
        <v>1</v>
      </c>
      <c r="AN78" s="371">
        <v>0</v>
      </c>
      <c r="AO78" s="372">
        <f t="shared" si="99"/>
        <v>0</v>
      </c>
      <c r="AP78" s="370">
        <v>0</v>
      </c>
      <c r="AQ78" s="371">
        <v>2</v>
      </c>
      <c r="AR78" s="371">
        <f>AT77-AS77-AQ78</f>
        <v>-1</v>
      </c>
      <c r="AS78" s="372">
        <v>1</v>
      </c>
      <c r="AT78" s="372">
        <f t="shared" si="100"/>
        <v>2</v>
      </c>
      <c r="AU78" s="370">
        <v>0</v>
      </c>
      <c r="AV78" s="371">
        <f t="shared" ref="AV78" si="111">AY77-AX77</f>
        <v>1</v>
      </c>
      <c r="AW78" s="371">
        <f>AY77-AX77-AV78</f>
        <v>0</v>
      </c>
      <c r="AX78" s="371">
        <v>2</v>
      </c>
      <c r="AY78" s="372">
        <f t="shared" si="101"/>
        <v>1</v>
      </c>
      <c r="AZ78" s="370">
        <v>0</v>
      </c>
      <c r="BA78" s="371">
        <f t="shared" ref="BA78" si="112">BD77-BC77</f>
        <v>0</v>
      </c>
      <c r="BB78" s="371">
        <f>BD77-BC77-BA78</f>
        <v>0</v>
      </c>
      <c r="BC78" s="371">
        <v>0</v>
      </c>
      <c r="BD78" s="372">
        <f t="shared" si="83"/>
        <v>0</v>
      </c>
      <c r="BE78" s="370">
        <v>0</v>
      </c>
      <c r="BF78" s="371">
        <f t="shared" ref="BF78" si="113">BI77-BH77</f>
        <v>0</v>
      </c>
      <c r="BG78" s="371">
        <f>BI77-BH77-BF78</f>
        <v>0</v>
      </c>
      <c r="BH78" s="371">
        <v>0</v>
      </c>
      <c r="BI78" s="372">
        <f t="shared" si="84"/>
        <v>0</v>
      </c>
      <c r="BJ78" s="370">
        <v>0</v>
      </c>
      <c r="BK78" s="371">
        <v>0</v>
      </c>
      <c r="BL78" s="371">
        <f t="shared" si="109"/>
        <v>1</v>
      </c>
      <c r="BM78" s="371">
        <v>3</v>
      </c>
      <c r="BN78" s="372">
        <f t="shared" si="85"/>
        <v>0</v>
      </c>
      <c r="BO78" s="370">
        <v>63</v>
      </c>
      <c r="BP78" s="371">
        <v>197</v>
      </c>
      <c r="BQ78" s="371">
        <v>1</v>
      </c>
      <c r="BR78" s="101">
        <f t="shared" si="86"/>
        <v>22</v>
      </c>
      <c r="BS78" s="371">
        <v>23</v>
      </c>
      <c r="BT78" s="371">
        <f t="shared" ref="BT78" si="114">BO78+BP78+BQ78</f>
        <v>261</v>
      </c>
      <c r="BU78" s="370">
        <v>37</v>
      </c>
      <c r="BV78" s="371">
        <v>156</v>
      </c>
      <c r="BW78" s="371">
        <v>0</v>
      </c>
      <c r="BX78" s="101">
        <f t="shared" si="73"/>
        <v>10</v>
      </c>
      <c r="BY78" s="371">
        <v>4</v>
      </c>
      <c r="BZ78" s="371">
        <f t="shared" ref="BZ78" si="115">BU78+BV78+BW78</f>
        <v>193</v>
      </c>
      <c r="CA78" s="370">
        <v>43</v>
      </c>
      <c r="CB78" s="371">
        <v>190</v>
      </c>
      <c r="CC78" s="371">
        <v>0</v>
      </c>
      <c r="CD78" s="373">
        <f t="shared" si="74"/>
        <v>6</v>
      </c>
      <c r="CE78" s="371">
        <v>30</v>
      </c>
      <c r="CF78" s="371">
        <f t="shared" ref="CF78" si="116">CA78+CB78+CC78</f>
        <v>233</v>
      </c>
      <c r="CG78" s="370">
        <v>47</v>
      </c>
      <c r="CH78" s="371">
        <v>192</v>
      </c>
      <c r="CI78" s="371">
        <v>6</v>
      </c>
      <c r="CJ78" s="373">
        <f t="shared" si="75"/>
        <v>6</v>
      </c>
      <c r="CK78" s="371">
        <v>10</v>
      </c>
      <c r="CL78" s="371">
        <f t="shared" ref="CL78" si="117">CG78+CH78+CI78</f>
        <v>245</v>
      </c>
      <c r="CM78" s="370">
        <v>36</v>
      </c>
      <c r="CN78" s="371">
        <v>126</v>
      </c>
      <c r="CO78" s="371"/>
      <c r="CP78" s="373">
        <f t="shared" si="76"/>
        <v>8</v>
      </c>
      <c r="CQ78" s="371">
        <v>9</v>
      </c>
      <c r="CR78" s="371">
        <f t="shared" ref="CR78" si="118">CM78+CN78+CO78</f>
        <v>162</v>
      </c>
      <c r="CS78" s="370">
        <v>63</v>
      </c>
      <c r="CT78" s="371">
        <v>179</v>
      </c>
      <c r="CU78" s="371">
        <v>2</v>
      </c>
      <c r="CV78" s="373">
        <f t="shared" si="77"/>
        <v>24</v>
      </c>
      <c r="CW78" s="371">
        <v>5</v>
      </c>
      <c r="CX78" s="372">
        <f>CS78+CT78+CU78</f>
        <v>244</v>
      </c>
      <c r="CY78" s="370">
        <v>102</v>
      </c>
      <c r="CZ78" s="371">
        <v>246</v>
      </c>
      <c r="DA78" s="371">
        <v>3</v>
      </c>
      <c r="DB78" s="373">
        <f t="shared" si="78"/>
        <v>36</v>
      </c>
      <c r="DC78" s="371">
        <v>15</v>
      </c>
      <c r="DD78" s="371">
        <f t="shared" ref="DD78" si="119">CY78+CZ78+DA78</f>
        <v>351</v>
      </c>
      <c r="DE78" s="370">
        <v>138</v>
      </c>
      <c r="DF78" s="371">
        <v>760</v>
      </c>
      <c r="DG78" s="371">
        <v>5</v>
      </c>
      <c r="DH78" s="373">
        <f t="shared" si="79"/>
        <v>60</v>
      </c>
      <c r="DI78" s="371">
        <v>62</v>
      </c>
      <c r="DJ78" s="371">
        <f t="shared" ref="DJ78" si="120">DE78+DF78+DG78</f>
        <v>903</v>
      </c>
      <c r="DK78" s="370">
        <v>0</v>
      </c>
      <c r="DL78" s="371">
        <v>26</v>
      </c>
      <c r="DM78" s="371">
        <v>0</v>
      </c>
      <c r="DN78" s="373">
        <f t="shared" si="80"/>
        <v>0</v>
      </c>
      <c r="DO78" s="371">
        <v>1</v>
      </c>
      <c r="DP78" s="372">
        <f t="shared" si="110"/>
        <v>26</v>
      </c>
      <c r="DQ78" s="370">
        <v>95</v>
      </c>
      <c r="DR78" s="371">
        <f>377-7</f>
        <v>370</v>
      </c>
      <c r="DS78" s="371">
        <v>7</v>
      </c>
      <c r="DT78" s="373">
        <f t="shared" si="81"/>
        <v>28</v>
      </c>
      <c r="DU78" s="371">
        <v>11</v>
      </c>
      <c r="DV78" s="371">
        <f t="shared" ref="DV78" si="121">DQ78+DR78+DS78</f>
        <v>472</v>
      </c>
      <c r="DW78" s="370">
        <v>139</v>
      </c>
      <c r="DX78" s="371">
        <v>530</v>
      </c>
      <c r="DY78" s="371">
        <v>9</v>
      </c>
      <c r="DZ78" s="373">
        <f t="shared" si="102"/>
        <v>23</v>
      </c>
      <c r="EA78" s="371">
        <v>29</v>
      </c>
      <c r="EB78" s="371">
        <f t="shared" ref="EB78" si="122">DW78+DX78+DY78</f>
        <v>678</v>
      </c>
      <c r="EC78" s="370">
        <v>64</v>
      </c>
      <c r="ED78" s="371">
        <v>179</v>
      </c>
      <c r="EE78" s="371">
        <v>3</v>
      </c>
      <c r="EF78" s="373">
        <f t="shared" si="104"/>
        <v>19</v>
      </c>
      <c r="EG78" s="371">
        <v>23</v>
      </c>
      <c r="EH78" s="371">
        <f>EC78+ED78+EE78</f>
        <v>246</v>
      </c>
      <c r="EI78" s="373">
        <v>34</v>
      </c>
      <c r="EJ78" s="373">
        <v>0</v>
      </c>
      <c r="EK78" s="373">
        <v>0</v>
      </c>
      <c r="EL78" s="373">
        <f t="shared" ref="EL78:EL84" si="123">EN77-EM77-EJ78</f>
        <v>0</v>
      </c>
      <c r="EM78" s="373">
        <v>0</v>
      </c>
      <c r="EN78" s="371">
        <f t="shared" ref="EN78" si="124">EI78+EJ78+EK78</f>
        <v>34</v>
      </c>
      <c r="EO78" s="373">
        <v>3</v>
      </c>
      <c r="EP78" s="373">
        <v>5</v>
      </c>
      <c r="EQ78" s="373">
        <v>0</v>
      </c>
      <c r="ER78" s="373">
        <v>0</v>
      </c>
      <c r="ES78" s="373">
        <v>1</v>
      </c>
      <c r="ET78" s="371">
        <f t="shared" ref="ET78" si="125">EO78+EP78+EQ78</f>
        <v>8</v>
      </c>
      <c r="EU78" s="373"/>
      <c r="EV78" s="373"/>
      <c r="EW78" s="373"/>
      <c r="EX78" s="373"/>
      <c r="EY78" s="373"/>
      <c r="EZ78" s="373"/>
      <c r="FA78" s="370">
        <f>SUM(B78+G78+L78+Q78+V78+AA78+AF78+AK78+AP78+AU78+AZ78+BE78+BJ78+BO78+BU78+CA78+CG78+CM78+CS78+CY78+DE78+DK78+DQ78+DW78+EC78+EI78+EO78)</f>
        <v>864</v>
      </c>
      <c r="FB78" s="370">
        <f>+ED78+DX78+DR78+DL78+DF78+CZ78+CT78+CN78+CH78+CB78+BV78+BP78+BK78+BF78+BA78+AV78+AQ78+AL78+AG78+AB78+W78+EP78</f>
        <v>3166</v>
      </c>
      <c r="FC78" s="373">
        <f>SUM(BQ78+BW78+CC78+CI78+CO78+CU78+DA78+DG78+DM78+DS78+DY78+EE78+EK78)</f>
        <v>36</v>
      </c>
      <c r="FD78" s="373">
        <f t="shared" ref="FD78:FF79" si="126">SUM(D78+I78+N78+S78+X78+AC78+AH78+AM78+AR78+AW78+BB78+BG78+BL78+BR78+BX78+CD78+CJ78+CP78+CV78+DB78+DH78+DN78+DT78+DZ78+EF78+EL78+ER78)</f>
        <v>240</v>
      </c>
      <c r="FE78" s="373">
        <f t="shared" si="126"/>
        <v>233</v>
      </c>
      <c r="FF78" s="377">
        <f t="shared" si="126"/>
        <v>4066</v>
      </c>
      <c r="FG78" s="374" t="s">
        <v>165</v>
      </c>
      <c r="FH78" s="364" t="s">
        <v>100</v>
      </c>
      <c r="FI78" s="359" t="s">
        <v>226</v>
      </c>
      <c r="FJ78" s="321" t="s">
        <v>232</v>
      </c>
      <c r="FK78" s="321"/>
      <c r="FL78" s="321"/>
      <c r="FM78" s="321"/>
      <c r="FN78" s="408"/>
      <c r="FO78" s="321"/>
      <c r="FP78" s="321"/>
    </row>
    <row r="79" spans="1:198" s="358" customFormat="1" x14ac:dyDescent="0.2">
      <c r="A79" s="364" t="s">
        <v>101</v>
      </c>
      <c r="B79" s="366"/>
      <c r="C79" s="366"/>
      <c r="D79" s="366"/>
      <c r="E79" s="366"/>
      <c r="F79" s="366"/>
      <c r="G79" s="366"/>
      <c r="H79" s="366"/>
      <c r="I79" s="366"/>
      <c r="J79" s="366"/>
      <c r="K79" s="366"/>
      <c r="L79" s="366"/>
      <c r="M79" s="366"/>
      <c r="N79" s="366"/>
      <c r="O79" s="366"/>
      <c r="P79" s="366"/>
      <c r="Q79" s="366"/>
      <c r="R79" s="366"/>
      <c r="S79" s="366"/>
      <c r="T79" s="366"/>
      <c r="U79" s="366"/>
      <c r="V79" s="373">
        <v>0</v>
      </c>
      <c r="W79" s="371">
        <v>1</v>
      </c>
      <c r="X79" s="371">
        <f>Z78-Y78-W79</f>
        <v>1</v>
      </c>
      <c r="Y79" s="371">
        <v>1</v>
      </c>
      <c r="Z79" s="372">
        <f>V79+W79</f>
        <v>1</v>
      </c>
      <c r="AA79" s="370">
        <v>0</v>
      </c>
      <c r="AB79" s="371">
        <v>1</v>
      </c>
      <c r="AC79" s="371">
        <f t="shared" si="106"/>
        <v>-1</v>
      </c>
      <c r="AD79" s="371">
        <v>1</v>
      </c>
      <c r="AE79" s="372">
        <f t="shared" ref="AE79:AE81" si="127">AA79+AB79</f>
        <v>1</v>
      </c>
      <c r="AF79" s="370">
        <v>0</v>
      </c>
      <c r="AG79" s="371">
        <v>1</v>
      </c>
      <c r="AH79" s="371">
        <f t="shared" si="108"/>
        <v>0</v>
      </c>
      <c r="AI79" s="371">
        <v>1</v>
      </c>
      <c r="AJ79" s="372">
        <f t="shared" ref="AJ79:AJ83" si="128">AF79+AG79</f>
        <v>1</v>
      </c>
      <c r="AK79" s="370">
        <v>0</v>
      </c>
      <c r="AL79" s="371">
        <v>0</v>
      </c>
      <c r="AM79" s="371">
        <f>AO78-AN78-AL79</f>
        <v>0</v>
      </c>
      <c r="AN79" s="371">
        <v>0</v>
      </c>
      <c r="AO79" s="372">
        <f t="shared" ref="AO79:AO80" si="129">AK79+AL79</f>
        <v>0</v>
      </c>
      <c r="AP79" s="370">
        <v>0</v>
      </c>
      <c r="AQ79" s="371">
        <v>1</v>
      </c>
      <c r="AR79" s="371">
        <f>AT78-AS78-AQ79</f>
        <v>0</v>
      </c>
      <c r="AS79" s="372">
        <v>0</v>
      </c>
      <c r="AT79" s="372">
        <f t="shared" ref="AT79:AT81" si="130">AP79+AQ79</f>
        <v>1</v>
      </c>
      <c r="AU79" s="370">
        <v>0</v>
      </c>
      <c r="AV79" s="371">
        <v>0</v>
      </c>
      <c r="AW79" s="371">
        <f>AY78-AX78-AV79</f>
        <v>-1</v>
      </c>
      <c r="AX79" s="371">
        <v>0</v>
      </c>
      <c r="AY79" s="372">
        <f t="shared" ref="AY79:AY80" si="131">AU79+AV79</f>
        <v>0</v>
      </c>
      <c r="AZ79" s="370">
        <v>0</v>
      </c>
      <c r="BA79" s="371">
        <f t="shared" ref="BA79" si="132">BD78-BC78</f>
        <v>0</v>
      </c>
      <c r="BB79" s="371">
        <f>BD78-BC78-BA79</f>
        <v>0</v>
      </c>
      <c r="BC79" s="371">
        <v>0</v>
      </c>
      <c r="BD79" s="372">
        <f t="shared" si="83"/>
        <v>0</v>
      </c>
      <c r="BE79" s="370">
        <v>0</v>
      </c>
      <c r="BF79" s="371">
        <f t="shared" ref="BF79" si="133">BI78-BH78</f>
        <v>0</v>
      </c>
      <c r="BG79" s="371">
        <f>BI78-BH78-BF79</f>
        <v>0</v>
      </c>
      <c r="BH79" s="371">
        <v>0</v>
      </c>
      <c r="BI79" s="372">
        <f t="shared" ref="BI79" si="134">BE79+BF79</f>
        <v>0</v>
      </c>
      <c r="BJ79" s="370">
        <v>0</v>
      </c>
      <c r="BK79" s="371">
        <v>1</v>
      </c>
      <c r="BL79" s="371">
        <f t="shared" si="109"/>
        <v>-4</v>
      </c>
      <c r="BM79" s="371">
        <v>1</v>
      </c>
      <c r="BN79" s="372">
        <f t="shared" ref="BN79:BN80" si="135">BJ79+BK79</f>
        <v>1</v>
      </c>
      <c r="BO79" s="370">
        <v>37</v>
      </c>
      <c r="BP79" s="371">
        <v>221</v>
      </c>
      <c r="BQ79" s="371">
        <v>0</v>
      </c>
      <c r="BR79" s="101">
        <f t="shared" si="86"/>
        <v>17</v>
      </c>
      <c r="BS79" s="371">
        <v>7</v>
      </c>
      <c r="BT79" s="371">
        <f t="shared" ref="BT79" si="136">BO79+BP79+BQ79</f>
        <v>258</v>
      </c>
      <c r="BU79" s="370">
        <v>38</v>
      </c>
      <c r="BV79" s="371">
        <v>170</v>
      </c>
      <c r="BW79" s="371">
        <v>0</v>
      </c>
      <c r="BX79" s="101">
        <f t="shared" si="73"/>
        <v>19</v>
      </c>
      <c r="BY79" s="371">
        <v>13</v>
      </c>
      <c r="BZ79" s="371">
        <f t="shared" ref="BZ79" si="137">BU79+BV79+BW79</f>
        <v>208</v>
      </c>
      <c r="CA79" s="370">
        <v>0</v>
      </c>
      <c r="CB79" s="371">
        <v>182</v>
      </c>
      <c r="CC79" s="371">
        <v>1</v>
      </c>
      <c r="CD79" s="373">
        <f t="shared" si="74"/>
        <v>21</v>
      </c>
      <c r="CE79" s="371">
        <v>14</v>
      </c>
      <c r="CF79" s="371">
        <f t="shared" ref="CF79" si="138">CA79+CB79+CC79</f>
        <v>183</v>
      </c>
      <c r="CG79" s="370">
        <v>33</v>
      </c>
      <c r="CH79" s="371">
        <v>212</v>
      </c>
      <c r="CI79" s="371">
        <v>3</v>
      </c>
      <c r="CJ79" s="373">
        <f t="shared" si="75"/>
        <v>23</v>
      </c>
      <c r="CK79" s="371">
        <v>15</v>
      </c>
      <c r="CL79" s="371">
        <f t="shared" ref="CL79" si="139">CG79+CH79+CI79</f>
        <v>248</v>
      </c>
      <c r="CM79" s="370">
        <v>0</v>
      </c>
      <c r="CN79" s="371">
        <v>139</v>
      </c>
      <c r="CO79" s="371"/>
      <c r="CP79" s="373">
        <f t="shared" si="76"/>
        <v>14</v>
      </c>
      <c r="CQ79" s="371">
        <v>8</v>
      </c>
      <c r="CR79" s="371">
        <f t="shared" ref="CR79" si="140">CM79+CN79+CO79</f>
        <v>139</v>
      </c>
      <c r="CS79" s="370">
        <v>30</v>
      </c>
      <c r="CT79" s="371">
        <v>198</v>
      </c>
      <c r="CU79" s="371">
        <v>0</v>
      </c>
      <c r="CV79" s="373">
        <f t="shared" si="77"/>
        <v>41</v>
      </c>
      <c r="CW79" s="371">
        <v>7</v>
      </c>
      <c r="CX79" s="372">
        <f>CS79+CT79+CU79</f>
        <v>228</v>
      </c>
      <c r="CY79" s="370">
        <v>34</v>
      </c>
      <c r="CZ79" s="371">
        <v>293</v>
      </c>
      <c r="DA79" s="371">
        <v>4</v>
      </c>
      <c r="DB79" s="373">
        <f t="shared" si="78"/>
        <v>43</v>
      </c>
      <c r="DC79" s="371">
        <v>15</v>
      </c>
      <c r="DD79" s="371">
        <f t="shared" ref="DD79" si="141">CY79+CZ79+DA79</f>
        <v>331</v>
      </c>
      <c r="DE79" s="370">
        <v>80</v>
      </c>
      <c r="DF79" s="371">
        <v>791</v>
      </c>
      <c r="DG79" s="371">
        <v>2</v>
      </c>
      <c r="DH79" s="373">
        <f t="shared" si="79"/>
        <v>50</v>
      </c>
      <c r="DI79" s="371">
        <v>42</v>
      </c>
      <c r="DJ79" s="371">
        <f t="shared" ref="DJ79" si="142">DE79+DF79+DG79</f>
        <v>873</v>
      </c>
      <c r="DK79" s="370">
        <v>0</v>
      </c>
      <c r="DL79" s="371">
        <v>23</v>
      </c>
      <c r="DM79" s="371">
        <v>0</v>
      </c>
      <c r="DN79" s="373">
        <f t="shared" si="80"/>
        <v>2</v>
      </c>
      <c r="DO79" s="371">
        <v>4</v>
      </c>
      <c r="DP79" s="372">
        <f t="shared" ref="DP79" si="143">DK79+DL79+DM79</f>
        <v>23</v>
      </c>
      <c r="DQ79" s="370">
        <v>36</v>
      </c>
      <c r="DR79" s="371">
        <v>412</v>
      </c>
      <c r="DS79" s="371">
        <v>3</v>
      </c>
      <c r="DT79" s="373">
        <f t="shared" si="81"/>
        <v>49</v>
      </c>
      <c r="DU79" s="371">
        <v>16</v>
      </c>
      <c r="DV79" s="371">
        <f t="shared" ref="DV79" si="144">DQ79+DR79+DS79</f>
        <v>451</v>
      </c>
      <c r="DW79" s="370">
        <v>40</v>
      </c>
      <c r="DX79" s="371">
        <v>590</v>
      </c>
      <c r="DY79" s="371">
        <v>1</v>
      </c>
      <c r="DZ79" s="373">
        <f t="shared" si="102"/>
        <v>59</v>
      </c>
      <c r="EA79" s="371">
        <v>27</v>
      </c>
      <c r="EB79" s="371">
        <f t="shared" ref="EB79" si="145">DW79+DX79+DY79</f>
        <v>631</v>
      </c>
      <c r="EC79" s="370">
        <v>32</v>
      </c>
      <c r="ED79" s="371">
        <v>197</v>
      </c>
      <c r="EE79" s="371">
        <v>1</v>
      </c>
      <c r="EF79" s="373">
        <f t="shared" si="104"/>
        <v>26</v>
      </c>
      <c r="EG79" s="371">
        <v>7</v>
      </c>
      <c r="EH79" s="371">
        <f>EC79+ED79+EE79</f>
        <v>230</v>
      </c>
      <c r="EI79" s="373">
        <v>0</v>
      </c>
      <c r="EJ79" s="373">
        <v>28</v>
      </c>
      <c r="EK79" s="373">
        <v>0</v>
      </c>
      <c r="EL79" s="373">
        <f t="shared" si="123"/>
        <v>6</v>
      </c>
      <c r="EM79" s="373">
        <v>0</v>
      </c>
      <c r="EN79" s="371">
        <f t="shared" ref="EN79" si="146">EI79+EJ79+EK79</f>
        <v>28</v>
      </c>
      <c r="EO79" s="373">
        <v>0</v>
      </c>
      <c r="EP79" s="373">
        <v>6</v>
      </c>
      <c r="EQ79" s="373">
        <v>0</v>
      </c>
      <c r="ER79" s="373">
        <f>ET78-ES78-EP79</f>
        <v>1</v>
      </c>
      <c r="ES79" s="373">
        <v>0</v>
      </c>
      <c r="ET79" s="371">
        <f t="shared" ref="ET79" si="147">EO79+EP79+EQ79</f>
        <v>6</v>
      </c>
      <c r="EU79" s="373"/>
      <c r="EV79" s="373"/>
      <c r="EW79" s="373"/>
      <c r="EX79" s="373"/>
      <c r="EY79" s="373"/>
      <c r="EZ79" s="373"/>
      <c r="FA79" s="370">
        <f>SUM(B79+G79+L79+Q79+V79+AA79+AF79+AK79+AP79+AU79+AZ79+BE79+BJ79+BO79+BU79+CA79+CG79+CM79+CS79+CY79+DE79+DK79+DQ79+DW79+EC79+EI79+EO79)</f>
        <v>360</v>
      </c>
      <c r="FB79" s="370">
        <f>+ED79+DX79+DR79+DL79+DF79+CZ79+CT79+CN79+CH79+CB79+BV79+BP79+BK79+BF79+BA79+AV79+AQ79+AL79+AG79+AB79+W79+EP79+EJ79</f>
        <v>3467</v>
      </c>
      <c r="FC79" s="373">
        <f>SUM(BQ79+BW79+CC79+CI79+CO79+CU79+DA79+DG79+DM79+DS79+DY79+EE79+EK79)</f>
        <v>15</v>
      </c>
      <c r="FD79" s="373">
        <f t="shared" si="126"/>
        <v>366</v>
      </c>
      <c r="FE79" s="373">
        <f t="shared" si="126"/>
        <v>179</v>
      </c>
      <c r="FF79" s="377">
        <f t="shared" si="126"/>
        <v>3842</v>
      </c>
      <c r="FG79" s="374" t="s">
        <v>165</v>
      </c>
      <c r="FH79" s="364" t="s">
        <v>101</v>
      </c>
      <c r="FI79" s="359" t="s">
        <v>233</v>
      </c>
      <c r="FJ79" s="321"/>
      <c r="FK79" s="321"/>
      <c r="FL79" s="321"/>
      <c r="FM79" s="321"/>
      <c r="FN79" s="408"/>
      <c r="FO79" s="321"/>
      <c r="FP79" s="321"/>
    </row>
    <row r="80" spans="1:198" x14ac:dyDescent="0.2">
      <c r="A80" s="66" t="s">
        <v>102</v>
      </c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171">
        <v>0</v>
      </c>
      <c r="W80" s="101">
        <v>0</v>
      </c>
      <c r="X80" s="101">
        <f>Z79-Y79-W80</f>
        <v>0</v>
      </c>
      <c r="Y80" s="109">
        <v>0</v>
      </c>
      <c r="Z80" s="109">
        <f>V80+W80</f>
        <v>0</v>
      </c>
      <c r="AA80" s="128">
        <v>0</v>
      </c>
      <c r="AB80" s="101">
        <v>1</v>
      </c>
      <c r="AC80" s="101">
        <f t="shared" si="106"/>
        <v>-1</v>
      </c>
      <c r="AD80" s="164">
        <v>1</v>
      </c>
      <c r="AE80" s="164">
        <f t="shared" si="127"/>
        <v>1</v>
      </c>
      <c r="AF80" s="128">
        <v>0</v>
      </c>
      <c r="AG80" s="101">
        <v>1</v>
      </c>
      <c r="AH80" s="101">
        <f t="shared" si="108"/>
        <v>-1</v>
      </c>
      <c r="AI80" s="109">
        <v>0</v>
      </c>
      <c r="AJ80" s="109">
        <f t="shared" si="128"/>
        <v>1</v>
      </c>
      <c r="AK80" s="171">
        <v>0</v>
      </c>
      <c r="AL80" s="101">
        <v>0</v>
      </c>
      <c r="AM80" s="101">
        <v>0</v>
      </c>
      <c r="AN80" s="101">
        <v>0</v>
      </c>
      <c r="AO80" s="109">
        <f t="shared" si="129"/>
        <v>0</v>
      </c>
      <c r="AP80" s="128">
        <v>0</v>
      </c>
      <c r="AQ80" s="101">
        <v>0</v>
      </c>
      <c r="AR80" s="101">
        <v>1</v>
      </c>
      <c r="AS80" s="101">
        <v>1</v>
      </c>
      <c r="AT80" s="109">
        <f t="shared" si="130"/>
        <v>0</v>
      </c>
      <c r="AU80" s="128">
        <v>0</v>
      </c>
      <c r="AV80" s="101">
        <v>0</v>
      </c>
      <c r="AW80" s="101">
        <v>0</v>
      </c>
      <c r="AX80" s="101">
        <v>0</v>
      </c>
      <c r="AY80" s="109">
        <f t="shared" si="131"/>
        <v>0</v>
      </c>
      <c r="AZ80" s="128">
        <v>0</v>
      </c>
      <c r="BA80" s="101">
        <v>0</v>
      </c>
      <c r="BB80" s="101">
        <v>0</v>
      </c>
      <c r="BC80" s="101">
        <v>0</v>
      </c>
      <c r="BD80" s="109">
        <f t="shared" si="83"/>
        <v>0</v>
      </c>
      <c r="BE80" s="128">
        <v>0</v>
      </c>
      <c r="BF80" s="101">
        <v>0</v>
      </c>
      <c r="BG80" s="101">
        <v>0</v>
      </c>
      <c r="BH80" s="101">
        <v>0</v>
      </c>
      <c r="BI80" s="109">
        <v>0</v>
      </c>
      <c r="BJ80" s="128">
        <v>0</v>
      </c>
      <c r="BK80" s="101">
        <v>1</v>
      </c>
      <c r="BL80" s="101">
        <f t="shared" si="109"/>
        <v>-1</v>
      </c>
      <c r="BM80" s="109">
        <v>1</v>
      </c>
      <c r="BN80" s="109">
        <f t="shared" si="135"/>
        <v>1</v>
      </c>
      <c r="BO80" s="128">
        <v>45</v>
      </c>
      <c r="BP80" s="101">
        <f>285-45-4</f>
        <v>236</v>
      </c>
      <c r="BQ80" s="101">
        <v>4</v>
      </c>
      <c r="BR80" s="101">
        <f t="shared" si="86"/>
        <v>15</v>
      </c>
      <c r="BS80" s="101">
        <v>30</v>
      </c>
      <c r="BT80" s="101">
        <f t="shared" ref="BT80:BT96" si="148">BO80+BP80+BQ80</f>
        <v>285</v>
      </c>
      <c r="BU80" s="128">
        <v>45</v>
      </c>
      <c r="BV80" s="101">
        <f>228-45</f>
        <v>183</v>
      </c>
      <c r="BW80" s="101">
        <v>0</v>
      </c>
      <c r="BX80" s="101">
        <f t="shared" si="73"/>
        <v>12</v>
      </c>
      <c r="BY80" s="101">
        <v>14</v>
      </c>
      <c r="BZ80" s="101">
        <f t="shared" ref="BZ80:BZ96" si="149">BU80+BV80+BW80</f>
        <v>228</v>
      </c>
      <c r="CA80" s="128">
        <v>43</v>
      </c>
      <c r="CB80" s="101">
        <f>205-44</f>
        <v>161</v>
      </c>
      <c r="CC80" s="101">
        <v>1</v>
      </c>
      <c r="CD80" s="101">
        <f t="shared" si="74"/>
        <v>8</v>
      </c>
      <c r="CE80" s="101">
        <v>31</v>
      </c>
      <c r="CF80" s="101">
        <f t="shared" ref="CF80:CF96" si="150">CA80+CB80+CC80</f>
        <v>205</v>
      </c>
      <c r="CG80" s="128">
        <v>43</v>
      </c>
      <c r="CH80" s="101">
        <f>249-43-5-1</f>
        <v>200</v>
      </c>
      <c r="CI80" s="101">
        <v>5</v>
      </c>
      <c r="CJ80" s="101">
        <f t="shared" si="75"/>
        <v>33</v>
      </c>
      <c r="CK80" s="101">
        <v>13</v>
      </c>
      <c r="CL80" s="101">
        <f t="shared" ref="CL80:CL96" si="151">CG80+CH80+CI80</f>
        <v>248</v>
      </c>
      <c r="CM80" s="128">
        <v>42</v>
      </c>
      <c r="CN80" s="101">
        <f>154-42</f>
        <v>112</v>
      </c>
      <c r="CO80" s="101">
        <v>0</v>
      </c>
      <c r="CP80" s="101">
        <f t="shared" si="76"/>
        <v>19</v>
      </c>
      <c r="CQ80" s="101">
        <v>9</v>
      </c>
      <c r="CR80" s="101">
        <f t="shared" ref="CR80:CR96" si="152">CM80+CN80+CO80</f>
        <v>154</v>
      </c>
      <c r="CS80" s="128">
        <v>82</v>
      </c>
      <c r="CT80" s="101">
        <f>286-82-1</f>
        <v>203</v>
      </c>
      <c r="CU80" s="101">
        <v>1</v>
      </c>
      <c r="CV80" s="101">
        <f t="shared" si="77"/>
        <v>18</v>
      </c>
      <c r="CW80" s="101">
        <v>12</v>
      </c>
      <c r="CX80" s="101">
        <f t="shared" ref="CX80:CX96" si="153">CS80+CT80+CU80</f>
        <v>286</v>
      </c>
      <c r="CY80" s="128">
        <v>127</v>
      </c>
      <c r="CZ80" s="101">
        <f>402-127-3</f>
        <v>272</v>
      </c>
      <c r="DA80" s="101">
        <v>3</v>
      </c>
      <c r="DB80" s="101">
        <f t="shared" si="78"/>
        <v>44</v>
      </c>
      <c r="DC80" s="101">
        <v>16</v>
      </c>
      <c r="DD80" s="101">
        <f t="shared" ref="DD80:DD96" si="154">CY80+CZ80+DA80</f>
        <v>402</v>
      </c>
      <c r="DE80" s="128">
        <v>129</v>
      </c>
      <c r="DF80" s="101">
        <f>921-129-6-1</f>
        <v>785</v>
      </c>
      <c r="DG80" s="101">
        <v>6</v>
      </c>
      <c r="DH80" s="101">
        <f t="shared" si="79"/>
        <v>46</v>
      </c>
      <c r="DI80" s="101">
        <v>26</v>
      </c>
      <c r="DJ80" s="101">
        <f t="shared" ref="DJ80:DJ96" si="155">DE80+DF80+DG80</f>
        <v>920</v>
      </c>
      <c r="DK80" s="128">
        <v>0</v>
      </c>
      <c r="DL80" s="101">
        <v>17</v>
      </c>
      <c r="DM80" s="101">
        <v>0</v>
      </c>
      <c r="DN80" s="101">
        <f t="shared" si="80"/>
        <v>2</v>
      </c>
      <c r="DO80" s="109">
        <v>9</v>
      </c>
      <c r="DP80" s="109">
        <f t="shared" si="110"/>
        <v>17</v>
      </c>
      <c r="DQ80" s="128">
        <v>121</v>
      </c>
      <c r="DR80" s="101">
        <f>518-121-8</f>
        <v>389</v>
      </c>
      <c r="DS80" s="101">
        <v>8</v>
      </c>
      <c r="DT80" s="101">
        <f t="shared" si="81"/>
        <v>46</v>
      </c>
      <c r="DU80" s="101">
        <v>18</v>
      </c>
      <c r="DV80" s="101">
        <f t="shared" ref="DV80:DV96" si="156">DQ80+DR80+DS80</f>
        <v>518</v>
      </c>
      <c r="DW80" s="128">
        <v>126</v>
      </c>
      <c r="DX80" s="101">
        <f>685-126-6-1</f>
        <v>552</v>
      </c>
      <c r="DY80" s="101">
        <v>6</v>
      </c>
      <c r="DZ80" s="101">
        <f>EB79-EA79-DX80</f>
        <v>52</v>
      </c>
      <c r="EA80" s="101">
        <v>27</v>
      </c>
      <c r="EB80" s="101">
        <f t="shared" ref="EB80:EB96" si="157">DW80+DX80+DY80</f>
        <v>684</v>
      </c>
      <c r="EC80" s="128">
        <v>47</v>
      </c>
      <c r="ED80" s="101">
        <f>276-47-5</f>
        <v>224</v>
      </c>
      <c r="EE80" s="101">
        <v>5</v>
      </c>
      <c r="EF80" s="101">
        <f>EH79-EG79-ED80</f>
        <v>-1</v>
      </c>
      <c r="EG80" s="101">
        <v>15</v>
      </c>
      <c r="EH80" s="101">
        <f t="shared" ref="EH80:EH96" si="158">EC80+ED80+EE80</f>
        <v>276</v>
      </c>
      <c r="EI80" s="171">
        <v>44</v>
      </c>
      <c r="EJ80" s="171">
        <f>70-44</f>
        <v>26</v>
      </c>
      <c r="EK80" s="171"/>
      <c r="EL80" s="171">
        <f t="shared" si="123"/>
        <v>2</v>
      </c>
      <c r="EM80" s="171">
        <v>0</v>
      </c>
      <c r="EN80" s="171">
        <f t="shared" ref="EN80:EN96" si="159">EI80+EJ80+EK80</f>
        <v>70</v>
      </c>
      <c r="EO80" s="171">
        <v>4</v>
      </c>
      <c r="EP80" s="171">
        <f>10-4</f>
        <v>6</v>
      </c>
      <c r="EQ80" s="171">
        <v>0</v>
      </c>
      <c r="ER80" s="171">
        <f>ET79-ES79-EP80</f>
        <v>0</v>
      </c>
      <c r="ES80" s="171">
        <v>0</v>
      </c>
      <c r="ET80" s="171">
        <f t="shared" ref="ET80:ET96" si="160">EO80+EP80+EQ80</f>
        <v>10</v>
      </c>
      <c r="EU80" s="171"/>
      <c r="EV80" s="171"/>
      <c r="EW80" s="171"/>
      <c r="EX80" s="171"/>
      <c r="EY80" s="171"/>
      <c r="EZ80" s="171"/>
      <c r="FA80" s="128">
        <f t="shared" ref="FA80:FA81" si="161">SUM(B80+G80+L80+Q80+V80+AA80+AF80+AK80+AP80+AU80+AZ80+BE80+BJ80+BO80+BU80+CA80+CG80+CM80+CS80+CY80+DE80+DK80+DQ80+DW80+EC80+EI80+EO80)</f>
        <v>898</v>
      </c>
      <c r="FB80" s="171">
        <f>+ED80+DX80+DR80+DL80+DF80+CZ80+CT80+CN80+CH80+CB80+BV80+BP80+BK80+BF80+BA80+AV80+AQ80+AL80+AG80+AB80+W80+EP80+EJ80</f>
        <v>3369</v>
      </c>
      <c r="FC80" s="171">
        <f t="shared" ref="FC80:FC81" si="162">SUM(BQ80+BW80+CC80+CI80+CO80+CU80+DA80+DG80+DM80+DS80+DY80+EE80+EK80)</f>
        <v>39</v>
      </c>
      <c r="FD80" s="171">
        <f>SUM(D80+I80+N80+S80+X80+AC80+AH80+AM80+AR80+AW80+BB80+BG80+BL80+BR80+BX80+CD80+CJ80+CP80+CV80+DB80+DH80+DN80+DT80+DZ80+EF80+EL80+ER80)</f>
        <v>294</v>
      </c>
      <c r="FE80" s="171">
        <f t="shared" ref="FE80:FE96" si="163">SUM(E80+J80+O80+T80+Y80+AD80+AI80+AN80+AS80+AX80+BC80+BH80+BM80+BS80+BY80+CE80+CK80+CQ80+CW80+DC80+DI80+DO80+DU80+EA80+EG80+EM80+ES80)</f>
        <v>223</v>
      </c>
      <c r="FF80" s="114">
        <f>SUM(F80+K80+P80+U80+Z80+AE80+AJ80+AO80+AT80+AY80+BD80+BI80+BN80+BT80+BZ80+CF80+CL80+CR80+CX80+DD80+DJ80+DP80+DV80+EB80+EH80+EN80+ET80)</f>
        <v>4306</v>
      </c>
      <c r="FG80" s="239" t="s">
        <v>131</v>
      </c>
      <c r="FH80" s="66" t="s">
        <v>102</v>
      </c>
      <c r="FI80" s="411"/>
      <c r="FM80" s="412"/>
      <c r="FN80" s="413"/>
    </row>
    <row r="81" spans="1:166" x14ac:dyDescent="0.2">
      <c r="A81" s="66" t="s">
        <v>103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128"/>
      <c r="W81" s="101"/>
      <c r="X81" s="101"/>
      <c r="Y81" s="164"/>
      <c r="Z81" s="164"/>
      <c r="AA81" s="128">
        <v>0</v>
      </c>
      <c r="AB81" s="101">
        <v>0</v>
      </c>
      <c r="AC81" s="101">
        <f t="shared" si="106"/>
        <v>0</v>
      </c>
      <c r="AD81" s="164">
        <v>0</v>
      </c>
      <c r="AE81" s="164">
        <f t="shared" si="127"/>
        <v>0</v>
      </c>
      <c r="AF81" s="128">
        <v>0</v>
      </c>
      <c r="AG81" s="101">
        <v>0</v>
      </c>
      <c r="AH81" s="101">
        <f t="shared" si="108"/>
        <v>1</v>
      </c>
      <c r="AI81" s="164">
        <v>0</v>
      </c>
      <c r="AJ81" s="164">
        <f t="shared" si="128"/>
        <v>0</v>
      </c>
      <c r="AK81" s="128">
        <v>0</v>
      </c>
      <c r="AL81" s="101">
        <v>0</v>
      </c>
      <c r="AM81" s="101">
        <v>0</v>
      </c>
      <c r="AN81" s="164">
        <v>0</v>
      </c>
      <c r="AO81" s="164">
        <v>0</v>
      </c>
      <c r="AP81" s="128">
        <v>0</v>
      </c>
      <c r="AQ81" s="101">
        <v>1</v>
      </c>
      <c r="AR81" s="101">
        <v>0</v>
      </c>
      <c r="AS81" s="101">
        <v>1</v>
      </c>
      <c r="AT81" s="101">
        <f t="shared" si="130"/>
        <v>1</v>
      </c>
      <c r="AU81" s="128">
        <v>0</v>
      </c>
      <c r="AV81" s="101">
        <v>0</v>
      </c>
      <c r="AW81" s="101">
        <v>0</v>
      </c>
      <c r="AX81" s="101">
        <v>0</v>
      </c>
      <c r="AY81" s="109">
        <f t="shared" ref="AY81" si="164">AU81+AV81</f>
        <v>0</v>
      </c>
      <c r="AZ81" s="128">
        <v>0</v>
      </c>
      <c r="BA81" s="101">
        <v>1</v>
      </c>
      <c r="BB81" s="101">
        <v>0</v>
      </c>
      <c r="BC81" s="101">
        <v>1</v>
      </c>
      <c r="BD81" s="101">
        <f t="shared" si="83"/>
        <v>1</v>
      </c>
      <c r="BE81" s="128">
        <v>0</v>
      </c>
      <c r="BF81" s="101">
        <v>0</v>
      </c>
      <c r="BG81" s="101">
        <v>0</v>
      </c>
      <c r="BH81" s="101">
        <v>0</v>
      </c>
      <c r="BI81" s="109">
        <v>0</v>
      </c>
      <c r="BJ81" s="101">
        <v>0</v>
      </c>
      <c r="BK81" s="101">
        <v>0</v>
      </c>
      <c r="BL81" s="101">
        <f t="shared" si="109"/>
        <v>0</v>
      </c>
      <c r="BM81" s="101">
        <v>0</v>
      </c>
      <c r="BN81" s="101">
        <v>0</v>
      </c>
      <c r="BO81" s="101">
        <v>39</v>
      </c>
      <c r="BP81" s="101">
        <v>236</v>
      </c>
      <c r="BQ81" s="101"/>
      <c r="BR81" s="101">
        <f t="shared" si="86"/>
        <v>19</v>
      </c>
      <c r="BS81" s="101">
        <v>20</v>
      </c>
      <c r="BT81" s="101">
        <f t="shared" si="148"/>
        <v>275</v>
      </c>
      <c r="BU81" s="101">
        <v>29</v>
      </c>
      <c r="BV81" s="101">
        <v>198</v>
      </c>
      <c r="BW81" s="101"/>
      <c r="BX81" s="101">
        <f t="shared" si="73"/>
        <v>16</v>
      </c>
      <c r="BY81" s="101">
        <v>11</v>
      </c>
      <c r="BZ81" s="101">
        <f t="shared" si="149"/>
        <v>227</v>
      </c>
      <c r="CA81" s="101">
        <v>31</v>
      </c>
      <c r="CB81" s="101">
        <v>153</v>
      </c>
      <c r="CC81" s="101">
        <v>1</v>
      </c>
      <c r="CD81" s="101">
        <f t="shared" si="74"/>
        <v>21</v>
      </c>
      <c r="CE81" s="101">
        <v>8</v>
      </c>
      <c r="CF81" s="101">
        <f t="shared" si="150"/>
        <v>185</v>
      </c>
      <c r="CG81" s="101">
        <v>20</v>
      </c>
      <c r="CH81" s="101">
        <v>213</v>
      </c>
      <c r="CI81" s="101">
        <v>5</v>
      </c>
      <c r="CJ81" s="101">
        <f t="shared" si="75"/>
        <v>22</v>
      </c>
      <c r="CK81" s="101">
        <v>8</v>
      </c>
      <c r="CL81" s="101">
        <f t="shared" si="151"/>
        <v>238</v>
      </c>
      <c r="CM81" s="101">
        <v>0</v>
      </c>
      <c r="CN81" s="101">
        <v>128</v>
      </c>
      <c r="CO81" s="101"/>
      <c r="CP81" s="101">
        <f t="shared" si="76"/>
        <v>17</v>
      </c>
      <c r="CQ81" s="101">
        <v>8</v>
      </c>
      <c r="CR81" s="101">
        <f t="shared" si="152"/>
        <v>128</v>
      </c>
      <c r="CS81" s="101">
        <v>17</v>
      </c>
      <c r="CT81" s="101">
        <v>242</v>
      </c>
      <c r="CU81" s="101"/>
      <c r="CV81" s="101">
        <f t="shared" si="77"/>
        <v>32</v>
      </c>
      <c r="CW81" s="101">
        <v>13</v>
      </c>
      <c r="CX81" s="101">
        <f t="shared" si="153"/>
        <v>259</v>
      </c>
      <c r="CY81" s="101">
        <v>31</v>
      </c>
      <c r="CZ81" s="101">
        <v>348</v>
      </c>
      <c r="DA81" s="101">
        <v>5</v>
      </c>
      <c r="DB81" s="101">
        <f t="shared" si="78"/>
        <v>38</v>
      </c>
      <c r="DC81" s="101">
        <v>22</v>
      </c>
      <c r="DD81" s="101">
        <f t="shared" si="154"/>
        <v>384</v>
      </c>
      <c r="DE81" s="101">
        <v>39</v>
      </c>
      <c r="DF81" s="101">
        <v>834</v>
      </c>
      <c r="DG81" s="101">
        <v>7</v>
      </c>
      <c r="DH81" s="101">
        <f t="shared" si="79"/>
        <v>60</v>
      </c>
      <c r="DI81" s="101">
        <v>53</v>
      </c>
      <c r="DJ81" s="101">
        <f t="shared" si="155"/>
        <v>880</v>
      </c>
      <c r="DK81" s="101">
        <v>0</v>
      </c>
      <c r="DL81" s="101">
        <v>9</v>
      </c>
      <c r="DM81" s="101">
        <v>0</v>
      </c>
      <c r="DN81" s="101">
        <f t="shared" si="80"/>
        <v>-1</v>
      </c>
      <c r="DO81" s="101">
        <v>4</v>
      </c>
      <c r="DP81" s="101">
        <f t="shared" si="110"/>
        <v>9</v>
      </c>
      <c r="DQ81" s="101">
        <v>32</v>
      </c>
      <c r="DR81" s="101">
        <v>460</v>
      </c>
      <c r="DS81" s="101">
        <v>4</v>
      </c>
      <c r="DT81" s="101">
        <f t="shared" si="81"/>
        <v>40</v>
      </c>
      <c r="DU81" s="101">
        <v>24</v>
      </c>
      <c r="DV81" s="101">
        <f t="shared" si="156"/>
        <v>496</v>
      </c>
      <c r="DW81" s="101">
        <v>34</v>
      </c>
      <c r="DX81" s="101">
        <v>609</v>
      </c>
      <c r="DY81" s="101">
        <v>10</v>
      </c>
      <c r="DZ81" s="101">
        <f>EB80-EA80-DX81</f>
        <v>48</v>
      </c>
      <c r="EA81" s="101">
        <v>39</v>
      </c>
      <c r="EB81" s="101">
        <f t="shared" si="157"/>
        <v>653</v>
      </c>
      <c r="EC81" s="101">
        <v>37</v>
      </c>
      <c r="ED81" s="101">
        <v>236</v>
      </c>
      <c r="EE81" s="101"/>
      <c r="EF81" s="101">
        <f>EH80-EG80-ED81</f>
        <v>25</v>
      </c>
      <c r="EG81" s="101">
        <v>14</v>
      </c>
      <c r="EH81" s="101">
        <f t="shared" si="158"/>
        <v>273</v>
      </c>
      <c r="EI81" s="101">
        <v>0</v>
      </c>
      <c r="EJ81" s="101">
        <v>48</v>
      </c>
      <c r="EK81" s="101">
        <v>0</v>
      </c>
      <c r="EL81" s="101">
        <f t="shared" si="123"/>
        <v>22</v>
      </c>
      <c r="EM81" s="101">
        <v>0</v>
      </c>
      <c r="EN81" s="101">
        <f t="shared" si="159"/>
        <v>48</v>
      </c>
      <c r="EO81" s="101">
        <v>0</v>
      </c>
      <c r="EP81" s="101">
        <v>7</v>
      </c>
      <c r="EQ81" s="101">
        <v>0</v>
      </c>
      <c r="ER81" s="171">
        <f t="shared" ref="ER81:ER84" si="165">ET80-ES80-EP81</f>
        <v>3</v>
      </c>
      <c r="ES81" s="101">
        <v>3</v>
      </c>
      <c r="ET81" s="101">
        <f t="shared" si="160"/>
        <v>7</v>
      </c>
      <c r="EU81" s="171"/>
      <c r="EV81" s="171"/>
      <c r="EW81" s="171"/>
      <c r="EX81" s="171"/>
      <c r="EY81" s="171"/>
      <c r="EZ81" s="171"/>
      <c r="FA81" s="128">
        <f t="shared" si="161"/>
        <v>309</v>
      </c>
      <c r="FB81" s="171">
        <f>+ED81+DX81+DR81+DL81+DF81+CZ81+CT81+CN81+CH81+CB81+BV81+BP81+BK81+BF81+BA81+AV81+AQ81+AL81+AG81+AB81+W81+EP81+EJ81</f>
        <v>3723</v>
      </c>
      <c r="FC81" s="101">
        <f t="shared" si="162"/>
        <v>32</v>
      </c>
      <c r="FD81" s="171">
        <f>SUM(D81+I81+N81+S81+X81+AC81+AH81+AM81+AR81+AW81+BB81+BG81+BL81+BR81+BX81+CD81+CJ81+CP81+CV81+DB81+DH81+DN81+DT81+DZ81+EF81+EL81+ER81)</f>
        <v>363</v>
      </c>
      <c r="FE81" s="171">
        <f t="shared" si="163"/>
        <v>229</v>
      </c>
      <c r="FF81" s="114">
        <f>SUM(F81+K81+P81+U81+Z81+AE81+AJ81+AO81+AT81+AY81+BD81+BI81+BN81+BT81+BZ81+CF81+CL81+CR81+CX81+DD81+DJ81+DP81+DV81+EB81+EH81+EN81+ET81)</f>
        <v>4064</v>
      </c>
      <c r="FG81" s="239" t="s">
        <v>128</v>
      </c>
      <c r="FH81" s="66" t="s">
        <v>103</v>
      </c>
    </row>
    <row r="82" spans="1:166" x14ac:dyDescent="0.2">
      <c r="A82" s="66" t="s">
        <v>104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171"/>
      <c r="W82" s="101"/>
      <c r="X82" s="101"/>
      <c r="Y82" s="101"/>
      <c r="Z82" s="109"/>
      <c r="AA82" s="128"/>
      <c r="AB82" s="101"/>
      <c r="AC82" s="101"/>
      <c r="AD82" s="101"/>
      <c r="AE82" s="164"/>
      <c r="AF82" s="128">
        <v>0</v>
      </c>
      <c r="AG82" s="101">
        <v>2</v>
      </c>
      <c r="AH82" s="101">
        <f t="shared" si="108"/>
        <v>-2</v>
      </c>
      <c r="AI82" s="101">
        <v>2</v>
      </c>
      <c r="AJ82" s="164">
        <f t="shared" si="128"/>
        <v>2</v>
      </c>
      <c r="AK82" s="128"/>
      <c r="AL82" s="101"/>
      <c r="AM82" s="101"/>
      <c r="AN82" s="101"/>
      <c r="AO82" s="164"/>
      <c r="AP82" s="128">
        <v>0</v>
      </c>
      <c r="AQ82" s="101">
        <v>0</v>
      </c>
      <c r="AR82" s="101">
        <v>0</v>
      </c>
      <c r="AS82" s="101">
        <v>0</v>
      </c>
      <c r="AT82" s="109">
        <v>0</v>
      </c>
      <c r="AU82" s="171"/>
      <c r="AV82" s="101"/>
      <c r="AW82" s="101"/>
      <c r="AX82" s="101"/>
      <c r="AY82" s="109"/>
      <c r="AZ82" s="128">
        <v>0</v>
      </c>
      <c r="BA82" s="101">
        <v>0</v>
      </c>
      <c r="BB82" s="101">
        <v>0</v>
      </c>
      <c r="BC82" s="101">
        <v>0</v>
      </c>
      <c r="BD82" s="109">
        <v>0</v>
      </c>
      <c r="BE82" s="128"/>
      <c r="BF82" s="101"/>
      <c r="BG82" s="101"/>
      <c r="BH82" s="101"/>
      <c r="BI82" s="109"/>
      <c r="BJ82" s="128"/>
      <c r="BK82" s="101"/>
      <c r="BL82" s="101"/>
      <c r="BM82" s="101"/>
      <c r="BN82" s="109"/>
      <c r="BO82" s="101">
        <v>39</v>
      </c>
      <c r="BP82" s="101">
        <v>213</v>
      </c>
      <c r="BQ82" s="101">
        <v>0</v>
      </c>
      <c r="BR82" s="101">
        <f>BT81-BS81-BP82</f>
        <v>42</v>
      </c>
      <c r="BS82" s="101">
        <v>16</v>
      </c>
      <c r="BT82" s="101">
        <f t="shared" si="148"/>
        <v>252</v>
      </c>
      <c r="BU82" s="101">
        <v>43</v>
      </c>
      <c r="BV82" s="101">
        <v>192</v>
      </c>
      <c r="BW82" s="101"/>
      <c r="BX82" s="101">
        <f t="shared" si="73"/>
        <v>24</v>
      </c>
      <c r="BY82" s="101">
        <v>14</v>
      </c>
      <c r="BZ82" s="101">
        <f t="shared" si="149"/>
        <v>235</v>
      </c>
      <c r="CA82" s="101">
        <v>41</v>
      </c>
      <c r="CB82" s="101">
        <v>161</v>
      </c>
      <c r="CC82" s="101">
        <v>0</v>
      </c>
      <c r="CD82" s="101">
        <f t="shared" si="74"/>
        <v>16</v>
      </c>
      <c r="CE82" s="101">
        <v>16</v>
      </c>
      <c r="CF82" s="101">
        <f t="shared" si="150"/>
        <v>202</v>
      </c>
      <c r="CG82" s="101">
        <v>40</v>
      </c>
      <c r="CH82" s="101">
        <v>211</v>
      </c>
      <c r="CI82" s="101">
        <v>8</v>
      </c>
      <c r="CJ82" s="101">
        <f t="shared" si="75"/>
        <v>19</v>
      </c>
      <c r="CK82" s="101">
        <v>13</v>
      </c>
      <c r="CL82" s="101">
        <f t="shared" si="151"/>
        <v>259</v>
      </c>
      <c r="CM82" s="101">
        <v>41</v>
      </c>
      <c r="CN82" s="101">
        <v>113</v>
      </c>
      <c r="CO82" s="101">
        <v>0</v>
      </c>
      <c r="CP82" s="101">
        <f t="shared" si="76"/>
        <v>7</v>
      </c>
      <c r="CQ82" s="101">
        <v>6</v>
      </c>
      <c r="CR82" s="101">
        <f t="shared" si="152"/>
        <v>154</v>
      </c>
      <c r="CS82" s="101">
        <v>39</v>
      </c>
      <c r="CT82" s="101">
        <v>215</v>
      </c>
      <c r="CU82" s="101">
        <v>2</v>
      </c>
      <c r="CV82" s="101">
        <f t="shared" si="77"/>
        <v>31</v>
      </c>
      <c r="CW82" s="101">
        <v>14</v>
      </c>
      <c r="CX82" s="101">
        <f t="shared" si="153"/>
        <v>256</v>
      </c>
      <c r="CY82" s="101">
        <v>84</v>
      </c>
      <c r="CZ82" s="101">
        <v>325</v>
      </c>
      <c r="DA82" s="101">
        <v>2</v>
      </c>
      <c r="DB82" s="101">
        <f t="shared" si="78"/>
        <v>37</v>
      </c>
      <c r="DC82" s="101">
        <v>25</v>
      </c>
      <c r="DD82" s="101">
        <f t="shared" si="154"/>
        <v>411</v>
      </c>
      <c r="DE82" s="101">
        <v>87</v>
      </c>
      <c r="DF82" s="101">
        <v>800</v>
      </c>
      <c r="DG82" s="101">
        <v>3</v>
      </c>
      <c r="DH82" s="101">
        <f t="shared" si="79"/>
        <v>27</v>
      </c>
      <c r="DI82" s="101">
        <v>61</v>
      </c>
      <c r="DJ82" s="101">
        <f t="shared" si="155"/>
        <v>890</v>
      </c>
      <c r="DK82" s="101">
        <v>0</v>
      </c>
      <c r="DL82" s="101">
        <v>2</v>
      </c>
      <c r="DM82" s="101">
        <v>0</v>
      </c>
      <c r="DN82" s="101">
        <f t="shared" si="80"/>
        <v>3</v>
      </c>
      <c r="DO82" s="101">
        <v>1</v>
      </c>
      <c r="DP82" s="101">
        <f t="shared" si="110"/>
        <v>2</v>
      </c>
      <c r="DQ82" s="101">
        <v>86</v>
      </c>
      <c r="DR82" s="101">
        <v>431</v>
      </c>
      <c r="DS82" s="101">
        <v>4</v>
      </c>
      <c r="DT82" s="101">
        <f t="shared" si="81"/>
        <v>41</v>
      </c>
      <c r="DU82" s="101">
        <v>18</v>
      </c>
      <c r="DV82" s="101">
        <f t="shared" si="156"/>
        <v>521</v>
      </c>
      <c r="DW82" s="101">
        <v>85</v>
      </c>
      <c r="DX82" s="101">
        <v>562</v>
      </c>
      <c r="DY82" s="101">
        <v>6</v>
      </c>
      <c r="DZ82" s="101">
        <f>EB81-EA81-DX82</f>
        <v>52</v>
      </c>
      <c r="EA82" s="101">
        <v>36</v>
      </c>
      <c r="EB82" s="101">
        <f t="shared" si="157"/>
        <v>653</v>
      </c>
      <c r="EC82" s="101">
        <v>44</v>
      </c>
      <c r="ED82" s="101">
        <v>237</v>
      </c>
      <c r="EE82" s="101">
        <v>2</v>
      </c>
      <c r="EF82" s="101">
        <f>EH81-EG81-ED82</f>
        <v>22</v>
      </c>
      <c r="EG82" s="101">
        <v>21</v>
      </c>
      <c r="EH82" s="101">
        <f t="shared" si="158"/>
        <v>283</v>
      </c>
      <c r="EI82" s="101">
        <v>43</v>
      </c>
      <c r="EJ82" s="101">
        <v>39</v>
      </c>
      <c r="EK82" s="101">
        <v>0</v>
      </c>
      <c r="EL82" s="101">
        <f t="shared" si="123"/>
        <v>9</v>
      </c>
      <c r="EM82" s="101">
        <v>0</v>
      </c>
      <c r="EN82" s="101">
        <f t="shared" si="159"/>
        <v>82</v>
      </c>
      <c r="EO82" s="101">
        <v>1</v>
      </c>
      <c r="EP82" s="101">
        <v>7</v>
      </c>
      <c r="EQ82" s="101">
        <v>0</v>
      </c>
      <c r="ER82" s="101">
        <f t="shared" si="165"/>
        <v>-3</v>
      </c>
      <c r="ES82" s="101">
        <v>3</v>
      </c>
      <c r="ET82" s="101">
        <f t="shared" si="160"/>
        <v>8</v>
      </c>
      <c r="EU82" s="101">
        <v>2</v>
      </c>
      <c r="EV82" s="101">
        <v>0</v>
      </c>
      <c r="EW82" s="101">
        <v>0</v>
      </c>
      <c r="EX82" s="101">
        <f t="shared" ref="EX82:EX84" si="166">EZ81-EY81-EV82</f>
        <v>0</v>
      </c>
      <c r="EY82" s="101">
        <v>0</v>
      </c>
      <c r="EZ82" s="101">
        <f t="shared" ref="EZ82:EZ142" si="167">EU82+EV82+EW82</f>
        <v>2</v>
      </c>
      <c r="FA82" s="128">
        <f>SUM(B82+G82+L82+Q82+V82+AA82+AF82+AK82+AP82+AU82+AZ82+BE82+BJ82+BO82+BU82+CA82+CG82+CM82+CS82+CY82+DE82+DK82+DQ82+DW82+EC82+EI82+EO82+EU82)</f>
        <v>675</v>
      </c>
      <c r="FB82" s="171">
        <f>+ED82+DX82+DR82+DL82+DF82+CZ82+CT82+CN82+CH82+CB82+BV82+BP82+BK82+BF82+BA82+AV82+AQ82+AL82+AG82+AB82+W82+EP82+EJ82+EV82</f>
        <v>3510</v>
      </c>
      <c r="FC82" s="101">
        <f>SUM(BQ82+BW82+CC82+CI82+CO82+CU82+DA82+DG82+DM82+DS82+DY82+EE82+EK82+EW82)</f>
        <v>27</v>
      </c>
      <c r="FD82" s="101">
        <f t="shared" ref="FD82:FD96" si="168">SUM(D82+I82+N82+S82+X82+AC82+AH82+AM82+AR82+AW82+BB82+BG82+BL82+BR82+BX82+CD82+CJ82+CP82+CV82+DB82+DH82+DN82+DT82+DZ82+EF82+EL82+ER82)</f>
        <v>325</v>
      </c>
      <c r="FE82" s="101">
        <f t="shared" si="163"/>
        <v>246</v>
      </c>
      <c r="FF82" s="101">
        <f>SUM(F82+K82+P82+U82+Z82+AE82+AJ82+AO82+AT82+AY82+BD82+BI82+BN82+BT82+BZ82+CF82+CL82+CR82+CX82+DD82+DJ82+DP82+DV82+EB82+EH82+EN82+ET82+EZ82)</f>
        <v>4212</v>
      </c>
      <c r="FG82" s="104" t="s">
        <v>132</v>
      </c>
      <c r="FH82" s="66" t="s">
        <v>104</v>
      </c>
      <c r="FI82" s="235"/>
      <c r="FJ82" s="235"/>
    </row>
    <row r="83" spans="1:166" ht="13.5" thickBot="1" x14ac:dyDescent="0.25">
      <c r="A83" s="66" t="s">
        <v>134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171"/>
      <c r="W83" s="101"/>
      <c r="X83" s="101"/>
      <c r="Y83" s="101"/>
      <c r="Z83" s="109"/>
      <c r="AA83" s="174"/>
      <c r="AB83" s="227"/>
      <c r="AC83" s="227"/>
      <c r="AD83" s="227"/>
      <c r="AE83" s="507"/>
      <c r="AF83" s="508">
        <v>0</v>
      </c>
      <c r="AG83" s="227">
        <v>0</v>
      </c>
      <c r="AH83" s="101">
        <f t="shared" si="108"/>
        <v>0</v>
      </c>
      <c r="AI83" s="227"/>
      <c r="AJ83" s="164">
        <f t="shared" si="128"/>
        <v>0</v>
      </c>
      <c r="AK83" s="174"/>
      <c r="AL83" s="227"/>
      <c r="AM83" s="227"/>
      <c r="AN83" s="227"/>
      <c r="AO83" s="507"/>
      <c r="AP83" s="508"/>
      <c r="AQ83" s="227"/>
      <c r="AR83" s="227"/>
      <c r="AS83" s="227"/>
      <c r="AT83" s="509"/>
      <c r="AU83" s="174"/>
      <c r="AV83" s="227"/>
      <c r="AW83" s="227"/>
      <c r="AX83" s="227"/>
      <c r="AY83" s="507"/>
      <c r="AZ83" s="510"/>
      <c r="BA83" s="511"/>
      <c r="BB83" s="511"/>
      <c r="BC83" s="511"/>
      <c r="BD83" s="512"/>
      <c r="BE83" s="174"/>
      <c r="BF83" s="227"/>
      <c r="BG83" s="227"/>
      <c r="BH83" s="227"/>
      <c r="BI83" s="507"/>
      <c r="BJ83" s="128"/>
      <c r="BK83" s="101"/>
      <c r="BL83" s="101"/>
      <c r="BM83" s="101"/>
      <c r="BN83" s="109"/>
      <c r="BO83" s="101">
        <v>39</v>
      </c>
      <c r="BP83" s="101">
        <v>226</v>
      </c>
      <c r="BQ83" s="101">
        <v>2</v>
      </c>
      <c r="BR83" s="101">
        <f>BT82-BS82-BP83</f>
        <v>10</v>
      </c>
      <c r="BS83" s="101">
        <v>10</v>
      </c>
      <c r="BT83" s="101">
        <f t="shared" si="148"/>
        <v>267</v>
      </c>
      <c r="BU83" s="101">
        <v>37</v>
      </c>
      <c r="BV83" s="101">
        <v>204</v>
      </c>
      <c r="BW83" s="101">
        <v>0</v>
      </c>
      <c r="BX83" s="101">
        <f t="shared" si="73"/>
        <v>17</v>
      </c>
      <c r="BY83" s="101">
        <v>17</v>
      </c>
      <c r="BZ83" s="101">
        <f t="shared" si="149"/>
        <v>241</v>
      </c>
      <c r="CA83" s="101">
        <v>36</v>
      </c>
      <c r="CB83" s="101">
        <v>166</v>
      </c>
      <c r="CC83" s="101">
        <v>2</v>
      </c>
      <c r="CD83" s="101">
        <f t="shared" si="74"/>
        <v>20</v>
      </c>
      <c r="CE83" s="101">
        <v>15</v>
      </c>
      <c r="CF83" s="101">
        <f t="shared" si="150"/>
        <v>204</v>
      </c>
      <c r="CG83" s="101">
        <v>25</v>
      </c>
      <c r="CH83" s="101">
        <v>235</v>
      </c>
      <c r="CI83" s="101">
        <v>4</v>
      </c>
      <c r="CJ83" s="101">
        <f t="shared" si="75"/>
        <v>11</v>
      </c>
      <c r="CK83" s="101">
        <v>18</v>
      </c>
      <c r="CL83" s="101">
        <f t="shared" si="151"/>
        <v>264</v>
      </c>
      <c r="CM83" s="101">
        <v>29</v>
      </c>
      <c r="CN83" s="101">
        <v>131</v>
      </c>
      <c r="CO83" s="101">
        <v>3</v>
      </c>
      <c r="CP83" s="101">
        <f t="shared" si="76"/>
        <v>17</v>
      </c>
      <c r="CQ83" s="101">
        <v>6</v>
      </c>
      <c r="CR83" s="101">
        <f t="shared" si="152"/>
        <v>163</v>
      </c>
      <c r="CS83" s="101">
        <v>33</v>
      </c>
      <c r="CT83" s="101">
        <v>216</v>
      </c>
      <c r="CU83" s="101">
        <v>6</v>
      </c>
      <c r="CV83" s="101">
        <f t="shared" si="77"/>
        <v>26</v>
      </c>
      <c r="CW83" s="101">
        <v>15</v>
      </c>
      <c r="CX83" s="101">
        <f t="shared" si="153"/>
        <v>255</v>
      </c>
      <c r="CY83" s="101">
        <v>38</v>
      </c>
      <c r="CZ83" s="101">
        <v>336</v>
      </c>
      <c r="DA83" s="101">
        <v>1</v>
      </c>
      <c r="DB83" s="101">
        <f t="shared" si="78"/>
        <v>50</v>
      </c>
      <c r="DC83" s="101">
        <v>18</v>
      </c>
      <c r="DD83" s="101">
        <f t="shared" si="154"/>
        <v>375</v>
      </c>
      <c r="DE83" s="101">
        <v>37</v>
      </c>
      <c r="DF83" s="101">
        <v>793</v>
      </c>
      <c r="DG83" s="101">
        <v>5</v>
      </c>
      <c r="DH83" s="101">
        <f t="shared" si="79"/>
        <v>36</v>
      </c>
      <c r="DI83" s="101">
        <v>51</v>
      </c>
      <c r="DJ83" s="101">
        <f t="shared" si="155"/>
        <v>835</v>
      </c>
      <c r="DK83" s="101">
        <v>0</v>
      </c>
      <c r="DL83" s="101">
        <v>0</v>
      </c>
      <c r="DM83" s="101">
        <v>0</v>
      </c>
      <c r="DN83" s="101">
        <f t="shared" si="80"/>
        <v>1</v>
      </c>
      <c r="DO83" s="101">
        <v>0</v>
      </c>
      <c r="DP83" s="101">
        <f t="shared" si="110"/>
        <v>0</v>
      </c>
      <c r="DQ83" s="101">
        <v>36</v>
      </c>
      <c r="DR83" s="101">
        <v>471</v>
      </c>
      <c r="DS83" s="101">
        <v>8</v>
      </c>
      <c r="DT83" s="101">
        <f t="shared" si="81"/>
        <v>32</v>
      </c>
      <c r="DU83" s="101">
        <v>30</v>
      </c>
      <c r="DV83" s="101">
        <f t="shared" si="156"/>
        <v>515</v>
      </c>
      <c r="DW83" s="101">
        <v>41</v>
      </c>
      <c r="DX83" s="101">
        <v>577</v>
      </c>
      <c r="DY83" s="101">
        <v>2</v>
      </c>
      <c r="DZ83" s="101">
        <f>EB82-EA82-DX83</f>
        <v>40</v>
      </c>
      <c r="EA83" s="101">
        <v>44</v>
      </c>
      <c r="EB83" s="101">
        <f t="shared" si="157"/>
        <v>620</v>
      </c>
      <c r="EC83" s="101">
        <v>38</v>
      </c>
      <c r="ED83" s="101">
        <v>249</v>
      </c>
      <c r="EE83" s="101">
        <v>2</v>
      </c>
      <c r="EF83" s="101">
        <f>EH82-EG82-ED83</f>
        <v>13</v>
      </c>
      <c r="EG83" s="101">
        <v>10</v>
      </c>
      <c r="EH83" s="101">
        <f t="shared" si="158"/>
        <v>289</v>
      </c>
      <c r="EI83" s="101">
        <v>0</v>
      </c>
      <c r="EJ83" s="101">
        <v>51</v>
      </c>
      <c r="EK83" s="101">
        <v>0</v>
      </c>
      <c r="EL83" s="101">
        <f t="shared" si="123"/>
        <v>31</v>
      </c>
      <c r="EM83" s="101">
        <v>0</v>
      </c>
      <c r="EN83" s="101">
        <f t="shared" si="159"/>
        <v>51</v>
      </c>
      <c r="EO83" s="101">
        <v>0</v>
      </c>
      <c r="EP83" s="101">
        <v>4</v>
      </c>
      <c r="EQ83" s="101">
        <v>0</v>
      </c>
      <c r="ER83" s="101">
        <f t="shared" si="165"/>
        <v>1</v>
      </c>
      <c r="ES83" s="101">
        <v>1</v>
      </c>
      <c r="ET83" s="101">
        <f t="shared" si="160"/>
        <v>4</v>
      </c>
      <c r="EU83" s="101">
        <v>0</v>
      </c>
      <c r="EV83" s="101">
        <v>1</v>
      </c>
      <c r="EW83" s="101">
        <v>0</v>
      </c>
      <c r="EX83" s="101">
        <f t="shared" si="166"/>
        <v>1</v>
      </c>
      <c r="EY83" s="101">
        <v>0</v>
      </c>
      <c r="EZ83" s="101">
        <f t="shared" si="167"/>
        <v>1</v>
      </c>
      <c r="FA83" s="128">
        <f t="shared" ref="FA83:FA96" si="169">SUM(B83+G83+L83+Q83+V83+AA83+AF83+AK83+AP83+AU83+AZ83+BE83+BJ83+BO83+BU83+CA83+CG83+CM83+CS83+CY83+DE83+DK83+DQ83+DW83+EC83+EI83+EO83+EU83)</f>
        <v>389</v>
      </c>
      <c r="FB83" s="101">
        <f>+ED83+DX83+DR83+DL83+DF83+CZ83+CT83+CN83+CH83+CB83+BV83+BP83+BK83+BF83+BA83+AV83+AQ83+AL83+AG83+AB83+W83+EP83+EJ83+EV83</f>
        <v>3660</v>
      </c>
      <c r="FC83" s="101">
        <f t="shared" ref="FC83:FC96" si="170">SUM(BQ83+BW83+CC83+CI83+CO83+CU83+DA83+DG83+DM83+DS83+DY83+EE83+EK83+EW83)</f>
        <v>35</v>
      </c>
      <c r="FD83" s="101">
        <f t="shared" si="168"/>
        <v>305</v>
      </c>
      <c r="FE83" s="101">
        <f t="shared" si="163"/>
        <v>235</v>
      </c>
      <c r="FF83" s="101">
        <f>SUM(F83+K83+P83+U83+Z83+AE83+AJ83+AO83+AT83+AY83+BD83+BI83+BN83+BT83+BZ83+CF83+CL83+CR83+CX83+DD83+DJ83+DP83+DV83+EB83+EH83+EN83+ET83+EZ83)</f>
        <v>4084</v>
      </c>
      <c r="FG83" s="239" t="s">
        <v>148</v>
      </c>
      <c r="FH83" s="66" t="s">
        <v>134</v>
      </c>
      <c r="FI83" s="235"/>
      <c r="FJ83" s="235"/>
    </row>
    <row r="84" spans="1:166" x14ac:dyDescent="0.2">
      <c r="A84" s="250" t="s">
        <v>141</v>
      </c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249"/>
      <c r="W84" s="247"/>
      <c r="X84" s="247"/>
      <c r="Y84" s="247"/>
      <c r="Z84" s="248"/>
      <c r="AA84" s="249"/>
      <c r="AB84" s="247"/>
      <c r="AC84" s="247"/>
      <c r="AD84" s="247"/>
      <c r="AE84" s="309"/>
      <c r="AF84" s="246"/>
      <c r="AG84" s="247"/>
      <c r="AH84" s="247"/>
      <c r="AI84" s="247"/>
      <c r="AJ84" s="248"/>
      <c r="AK84" s="249"/>
      <c r="AL84" s="247"/>
      <c r="AM84" s="247"/>
      <c r="AN84" s="247"/>
      <c r="AO84" s="309"/>
      <c r="AP84" s="246"/>
      <c r="AQ84" s="247"/>
      <c r="AR84" s="247"/>
      <c r="AS84" s="247"/>
      <c r="AT84" s="248"/>
      <c r="AU84" s="249"/>
      <c r="AV84" s="247"/>
      <c r="AW84" s="247"/>
      <c r="AX84" s="247"/>
      <c r="AY84" s="309"/>
      <c r="AZ84" s="310"/>
      <c r="BA84" s="308"/>
      <c r="BB84" s="308"/>
      <c r="BC84" s="308"/>
      <c r="BD84" s="311"/>
      <c r="BE84" s="249"/>
      <c r="BF84" s="247"/>
      <c r="BG84" s="247"/>
      <c r="BH84" s="247"/>
      <c r="BI84" s="309"/>
      <c r="BJ84" s="246"/>
      <c r="BK84" s="247"/>
      <c r="BL84" s="247"/>
      <c r="BM84" s="247"/>
      <c r="BN84" s="248"/>
      <c r="BO84" s="399">
        <v>41</v>
      </c>
      <c r="BP84" s="398">
        <v>227</v>
      </c>
      <c r="BQ84" s="398"/>
      <c r="BR84" s="398">
        <f>BT83-BS83-BP84</f>
        <v>30</v>
      </c>
      <c r="BS84" s="400">
        <v>15</v>
      </c>
      <c r="BT84" s="398">
        <f t="shared" si="148"/>
        <v>268</v>
      </c>
      <c r="BU84" s="399">
        <v>33</v>
      </c>
      <c r="BV84" s="398">
        <v>202</v>
      </c>
      <c r="BW84" s="398"/>
      <c r="BX84" s="398">
        <f t="shared" si="73"/>
        <v>22</v>
      </c>
      <c r="BY84" s="400">
        <v>10</v>
      </c>
      <c r="BZ84" s="398">
        <f t="shared" si="149"/>
        <v>235</v>
      </c>
      <c r="CA84" s="399">
        <v>63</v>
      </c>
      <c r="CB84" s="398">
        <v>175</v>
      </c>
      <c r="CC84" s="398"/>
      <c r="CD84" s="398">
        <f t="shared" si="74"/>
        <v>14</v>
      </c>
      <c r="CE84" s="400">
        <v>25</v>
      </c>
      <c r="CF84" s="398">
        <f t="shared" si="150"/>
        <v>238</v>
      </c>
      <c r="CG84" s="399">
        <v>35</v>
      </c>
      <c r="CH84" s="398">
        <v>230</v>
      </c>
      <c r="CI84" s="398"/>
      <c r="CJ84" s="398">
        <f t="shared" si="75"/>
        <v>16</v>
      </c>
      <c r="CK84" s="400">
        <v>20</v>
      </c>
      <c r="CL84" s="398">
        <f t="shared" si="151"/>
        <v>265</v>
      </c>
      <c r="CM84" s="399">
        <v>33</v>
      </c>
      <c r="CN84" s="398">
        <v>141</v>
      </c>
      <c r="CO84" s="398"/>
      <c r="CP84" s="398">
        <f t="shared" si="76"/>
        <v>16</v>
      </c>
      <c r="CQ84" s="400">
        <v>20</v>
      </c>
      <c r="CR84" s="398">
        <f t="shared" si="152"/>
        <v>174</v>
      </c>
      <c r="CS84" s="399">
        <v>32</v>
      </c>
      <c r="CT84" s="398">
        <v>213</v>
      </c>
      <c r="CU84" s="398"/>
      <c r="CV84" s="398">
        <f t="shared" si="77"/>
        <v>27</v>
      </c>
      <c r="CW84" s="400">
        <v>15</v>
      </c>
      <c r="CX84" s="398">
        <f t="shared" si="153"/>
        <v>245</v>
      </c>
      <c r="CY84" s="399">
        <v>79</v>
      </c>
      <c r="CZ84" s="398">
        <v>319</v>
      </c>
      <c r="DA84" s="398"/>
      <c r="DB84" s="398">
        <f t="shared" si="78"/>
        <v>38</v>
      </c>
      <c r="DC84" s="400">
        <v>20</v>
      </c>
      <c r="DD84" s="398">
        <f t="shared" si="154"/>
        <v>398</v>
      </c>
      <c r="DE84" s="399">
        <v>81</v>
      </c>
      <c r="DF84" s="398">
        <v>751</v>
      </c>
      <c r="DG84" s="398"/>
      <c r="DH84" s="398">
        <f t="shared" si="79"/>
        <v>33</v>
      </c>
      <c r="DI84" s="400">
        <v>50</v>
      </c>
      <c r="DJ84" s="398">
        <f t="shared" si="155"/>
        <v>832</v>
      </c>
      <c r="DK84" s="249">
        <v>0</v>
      </c>
      <c r="DL84" s="247">
        <f t="shared" ref="DL84:DL96" si="171">-DN84-DO83+DP83</f>
        <v>0</v>
      </c>
      <c r="DM84" s="247"/>
      <c r="DN84" s="247"/>
      <c r="DO84" s="247"/>
      <c r="DP84" s="372">
        <f t="shared" si="110"/>
        <v>0</v>
      </c>
      <c r="DQ84" s="399">
        <v>84</v>
      </c>
      <c r="DR84" s="398">
        <v>447</v>
      </c>
      <c r="DS84" s="398"/>
      <c r="DT84" s="398">
        <f t="shared" si="81"/>
        <v>38</v>
      </c>
      <c r="DU84" s="400">
        <v>20</v>
      </c>
      <c r="DV84" s="398">
        <f t="shared" si="156"/>
        <v>531</v>
      </c>
      <c r="DW84" s="399">
        <v>71</v>
      </c>
      <c r="DX84" s="398">
        <v>533</v>
      </c>
      <c r="DY84" s="398"/>
      <c r="DZ84" s="398">
        <f>EB83-EA83-DX84</f>
        <v>43</v>
      </c>
      <c r="EA84" s="400">
        <v>40</v>
      </c>
      <c r="EB84" s="398">
        <f t="shared" si="157"/>
        <v>604</v>
      </c>
      <c r="EC84" s="399">
        <v>39</v>
      </c>
      <c r="ED84" s="398">
        <v>264</v>
      </c>
      <c r="EE84" s="398"/>
      <c r="EF84" s="398">
        <f>EH83-EG83-ED84</f>
        <v>15</v>
      </c>
      <c r="EG84" s="400">
        <v>15</v>
      </c>
      <c r="EH84" s="398">
        <f t="shared" si="158"/>
        <v>303</v>
      </c>
      <c r="EI84" s="399">
        <v>27</v>
      </c>
      <c r="EJ84" s="398">
        <v>45</v>
      </c>
      <c r="EK84" s="398"/>
      <c r="EL84" s="398">
        <f t="shared" si="123"/>
        <v>6</v>
      </c>
      <c r="EM84" s="400">
        <v>0</v>
      </c>
      <c r="EN84" s="398">
        <f t="shared" si="159"/>
        <v>72</v>
      </c>
      <c r="EO84" s="399">
        <v>1</v>
      </c>
      <c r="EP84" s="398">
        <v>3</v>
      </c>
      <c r="EQ84" s="398">
        <v>0</v>
      </c>
      <c r="ER84" s="398">
        <f t="shared" si="165"/>
        <v>0</v>
      </c>
      <c r="ES84" s="400">
        <v>0</v>
      </c>
      <c r="ET84" s="398">
        <f t="shared" si="160"/>
        <v>4</v>
      </c>
      <c r="EU84" s="399">
        <v>2</v>
      </c>
      <c r="EV84" s="398">
        <v>1</v>
      </c>
      <c r="EW84" s="398"/>
      <c r="EX84" s="398">
        <f t="shared" si="166"/>
        <v>0</v>
      </c>
      <c r="EY84" s="400"/>
      <c r="EZ84" s="398">
        <f t="shared" si="167"/>
        <v>3</v>
      </c>
      <c r="FA84" s="246">
        <f t="shared" si="169"/>
        <v>621</v>
      </c>
      <c r="FB84" s="247">
        <f t="shared" ref="FB84:FB97" si="172">+ED84+DX84+DR84+DL84+DF84+CZ84+CT84+CN84+CH84+CB84+BV84+BP84+BK84+BF84+BA84+AV84+AQ84+AL84+AG84+AB84+W84+EP84+EJ84+EV84</f>
        <v>3551</v>
      </c>
      <c r="FC84" s="247">
        <f t="shared" si="170"/>
        <v>0</v>
      </c>
      <c r="FD84" s="247">
        <f t="shared" si="168"/>
        <v>298</v>
      </c>
      <c r="FE84" s="247">
        <f t="shared" si="163"/>
        <v>250</v>
      </c>
      <c r="FF84" s="247">
        <f>SUM(F84+K84+P84+U84+Z84+AE84+AJ84+AO84+AT84+AY84+BD84+BI84+BN84+BT84+BZ84+CF84+CL84+CR84+CX84+DD84+DJ84+DP84+DV84+EB84+EH84+EN84+ET84+EZ84)</f>
        <v>4172</v>
      </c>
      <c r="FG84" s="104" t="s">
        <v>149</v>
      </c>
      <c r="FH84" s="250" t="s">
        <v>141</v>
      </c>
      <c r="FI84" s="235"/>
      <c r="FJ84" s="235"/>
    </row>
    <row r="85" spans="1:166" x14ac:dyDescent="0.2">
      <c r="A85" s="250" t="s">
        <v>135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249"/>
      <c r="W85" s="247"/>
      <c r="X85" s="247"/>
      <c r="Y85" s="247"/>
      <c r="Z85" s="248"/>
      <c r="AA85" s="249"/>
      <c r="AB85" s="247"/>
      <c r="AC85" s="247"/>
      <c r="AD85" s="247"/>
      <c r="AE85" s="309"/>
      <c r="AF85" s="246"/>
      <c r="AG85" s="247"/>
      <c r="AH85" s="247"/>
      <c r="AI85" s="247"/>
      <c r="AJ85" s="248"/>
      <c r="AK85" s="249"/>
      <c r="AL85" s="247"/>
      <c r="AM85" s="247"/>
      <c r="AN85" s="247"/>
      <c r="AO85" s="309"/>
      <c r="AP85" s="246"/>
      <c r="AQ85" s="247"/>
      <c r="AR85" s="247"/>
      <c r="AS85" s="247"/>
      <c r="AT85" s="248"/>
      <c r="AU85" s="249"/>
      <c r="AV85" s="247"/>
      <c r="AW85" s="247"/>
      <c r="AX85" s="247"/>
      <c r="AY85" s="309"/>
      <c r="AZ85" s="246"/>
      <c r="BA85" s="247"/>
      <c r="BB85" s="247"/>
      <c r="BC85" s="247"/>
      <c r="BD85" s="248"/>
      <c r="BE85" s="249"/>
      <c r="BF85" s="247"/>
      <c r="BG85" s="247"/>
      <c r="BH85" s="247"/>
      <c r="BI85" s="309"/>
      <c r="BJ85" s="246"/>
      <c r="BK85" s="247"/>
      <c r="BL85" s="247"/>
      <c r="BM85" s="247"/>
      <c r="BN85" s="248"/>
      <c r="BO85" s="246">
        <v>20</v>
      </c>
      <c r="BP85" s="247">
        <f t="shared" ref="BP84:BP96" si="173">-BS84-BR85+BT84</f>
        <v>238</v>
      </c>
      <c r="BQ85" s="247"/>
      <c r="BR85" s="247">
        <v>15</v>
      </c>
      <c r="BS85" s="247">
        <v>10</v>
      </c>
      <c r="BT85" s="247">
        <f t="shared" si="148"/>
        <v>258</v>
      </c>
      <c r="BU85" s="246">
        <v>15</v>
      </c>
      <c r="BV85" s="247">
        <f t="shared" ref="BV84:BV96" si="174">-BX85-BY84+BZ84</f>
        <v>210</v>
      </c>
      <c r="BW85" s="247"/>
      <c r="BX85" s="247">
        <v>15</v>
      </c>
      <c r="BY85" s="247">
        <v>10</v>
      </c>
      <c r="BZ85" s="247">
        <f t="shared" si="149"/>
        <v>225</v>
      </c>
      <c r="CA85" s="246">
        <v>35</v>
      </c>
      <c r="CB85" s="247">
        <f t="shared" ref="CB84:CB96" si="175">-CD85-CE84+CF84</f>
        <v>188</v>
      </c>
      <c r="CC85" s="247"/>
      <c r="CD85" s="247">
        <v>25</v>
      </c>
      <c r="CE85" s="247">
        <v>25</v>
      </c>
      <c r="CF85" s="247">
        <f t="shared" si="150"/>
        <v>223</v>
      </c>
      <c r="CG85" s="246">
        <v>20</v>
      </c>
      <c r="CH85" s="247">
        <f t="shared" ref="CH84:CH96" si="176">CL84-CK84-CJ85</f>
        <v>225</v>
      </c>
      <c r="CI85" s="247"/>
      <c r="CJ85" s="247">
        <v>20</v>
      </c>
      <c r="CK85" s="247">
        <v>15</v>
      </c>
      <c r="CL85" s="247">
        <f t="shared" si="151"/>
        <v>245</v>
      </c>
      <c r="CM85" s="249">
        <v>20</v>
      </c>
      <c r="CN85" s="247">
        <f t="shared" ref="CN84:CN96" si="177">CR84-CQ84-CP85</f>
        <v>139</v>
      </c>
      <c r="CO85" s="247"/>
      <c r="CP85" s="247">
        <v>15</v>
      </c>
      <c r="CQ85" s="247">
        <v>20</v>
      </c>
      <c r="CR85" s="247">
        <f t="shared" si="152"/>
        <v>159</v>
      </c>
      <c r="CS85" s="246">
        <v>15</v>
      </c>
      <c r="CT85" s="247">
        <f t="shared" ref="CT84:CT96" si="178">CX84-CW84-CV85</f>
        <v>215</v>
      </c>
      <c r="CU85" s="247"/>
      <c r="CV85" s="247">
        <v>15</v>
      </c>
      <c r="CW85" s="247">
        <v>10</v>
      </c>
      <c r="CX85" s="247">
        <f t="shared" si="153"/>
        <v>230</v>
      </c>
      <c r="CY85" s="246">
        <v>25</v>
      </c>
      <c r="CZ85" s="247">
        <f t="shared" ref="CZ84:CZ96" si="179">DD84-DC84-DB85</f>
        <v>348</v>
      </c>
      <c r="DA85" s="247"/>
      <c r="DB85" s="247">
        <v>30</v>
      </c>
      <c r="DC85" s="247">
        <v>20</v>
      </c>
      <c r="DD85" s="247">
        <f t="shared" si="154"/>
        <v>373</v>
      </c>
      <c r="DE85" s="246">
        <v>80</v>
      </c>
      <c r="DF85" s="247">
        <f t="shared" ref="DF84:DF96" si="180">-DH85-DI84+DJ84</f>
        <v>747</v>
      </c>
      <c r="DG85" s="247"/>
      <c r="DH85" s="247">
        <v>35</v>
      </c>
      <c r="DI85" s="247">
        <v>50</v>
      </c>
      <c r="DJ85" s="247">
        <f t="shared" si="155"/>
        <v>827</v>
      </c>
      <c r="DK85" s="249">
        <v>0</v>
      </c>
      <c r="DL85" s="247">
        <f t="shared" si="171"/>
        <v>0</v>
      </c>
      <c r="DM85" s="247"/>
      <c r="DN85" s="247"/>
      <c r="DO85" s="247"/>
      <c r="DP85" s="372">
        <f t="shared" si="110"/>
        <v>0</v>
      </c>
      <c r="DQ85" s="246">
        <v>20</v>
      </c>
      <c r="DR85" s="247">
        <f t="shared" ref="DR84:DR96" si="181">DV84-DU84-DT85</f>
        <v>481</v>
      </c>
      <c r="DS85" s="247"/>
      <c r="DT85" s="247">
        <v>30</v>
      </c>
      <c r="DU85" s="247">
        <v>15</v>
      </c>
      <c r="DV85" s="247">
        <f t="shared" si="156"/>
        <v>501</v>
      </c>
      <c r="DW85" s="246">
        <v>40</v>
      </c>
      <c r="DX85" s="247">
        <f t="shared" ref="DX84:DX96" si="182">-DZ85-EA84+EB84</f>
        <v>524</v>
      </c>
      <c r="DY85" s="247"/>
      <c r="DZ85" s="247">
        <v>40</v>
      </c>
      <c r="EA85" s="247">
        <v>30</v>
      </c>
      <c r="EB85" s="247">
        <f t="shared" si="157"/>
        <v>564</v>
      </c>
      <c r="EC85" s="246">
        <v>20</v>
      </c>
      <c r="ED85" s="247">
        <f t="shared" ref="ED84:ED96" si="183">-EF85-EG84+EH84</f>
        <v>268</v>
      </c>
      <c r="EE85" s="247"/>
      <c r="EF85" s="247">
        <v>20</v>
      </c>
      <c r="EG85" s="247">
        <v>15</v>
      </c>
      <c r="EH85" s="247">
        <f t="shared" si="158"/>
        <v>288</v>
      </c>
      <c r="EI85" s="249">
        <v>40</v>
      </c>
      <c r="EJ85" s="247">
        <f t="shared" ref="EJ84:EJ96" si="184">EN84-EM84-EL85</f>
        <v>62</v>
      </c>
      <c r="EK85" s="247"/>
      <c r="EL85" s="247">
        <v>10</v>
      </c>
      <c r="EM85" s="247">
        <v>15</v>
      </c>
      <c r="EN85" s="247">
        <f t="shared" si="159"/>
        <v>102</v>
      </c>
      <c r="EO85" s="246">
        <v>0</v>
      </c>
      <c r="EP85" s="247">
        <f t="shared" ref="EP84:EP96" si="185">ET84-ES84-ER85</f>
        <v>3</v>
      </c>
      <c r="EQ85" s="247">
        <v>0</v>
      </c>
      <c r="ER85" s="247">
        <v>1</v>
      </c>
      <c r="ES85" s="247">
        <v>5</v>
      </c>
      <c r="ET85" s="247">
        <f t="shared" si="160"/>
        <v>3</v>
      </c>
      <c r="EU85" s="249"/>
      <c r="EV85" s="249"/>
      <c r="EW85" s="249"/>
      <c r="EX85" s="249"/>
      <c r="EY85" s="249"/>
      <c r="EZ85" s="249">
        <f t="shared" si="167"/>
        <v>0</v>
      </c>
      <c r="FA85" s="246">
        <f t="shared" si="169"/>
        <v>350</v>
      </c>
      <c r="FB85" s="247">
        <f t="shared" si="172"/>
        <v>3648</v>
      </c>
      <c r="FC85" s="247">
        <f t="shared" si="170"/>
        <v>0</v>
      </c>
      <c r="FD85" s="247">
        <f t="shared" si="168"/>
        <v>271</v>
      </c>
      <c r="FE85" s="247">
        <f t="shared" si="163"/>
        <v>240</v>
      </c>
      <c r="FF85" s="247">
        <f t="shared" ref="FF84:FF97" si="186">SUM(F85+K85+P85+U85+Z85+AE85+AJ85+AO85+AT85+AY85+BD85+BI85+BN85+BT85+BZ85+CF85+CL85+CR85+CX85+DD85+DJ85+DP85+DV85+EB85+EH85+EN85+ET85+EZ85)</f>
        <v>3998</v>
      </c>
      <c r="FG85" s="104" t="s">
        <v>150</v>
      </c>
      <c r="FH85" s="250" t="s">
        <v>135</v>
      </c>
      <c r="FI85" s="235"/>
      <c r="FJ85" s="235"/>
    </row>
    <row r="86" spans="1:166" x14ac:dyDescent="0.2">
      <c r="A86" s="250" t="s">
        <v>142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249"/>
      <c r="W86" s="247"/>
      <c r="X86" s="247"/>
      <c r="Y86" s="247"/>
      <c r="Z86" s="248"/>
      <c r="AA86" s="249"/>
      <c r="AB86" s="247"/>
      <c r="AC86" s="247"/>
      <c r="AD86" s="247"/>
      <c r="AE86" s="309"/>
      <c r="AF86" s="246"/>
      <c r="AG86" s="247"/>
      <c r="AH86" s="247"/>
      <c r="AI86" s="247"/>
      <c r="AJ86" s="248"/>
      <c r="AK86" s="249"/>
      <c r="AL86" s="247"/>
      <c r="AM86" s="247"/>
      <c r="AN86" s="247"/>
      <c r="AO86" s="309"/>
      <c r="AP86" s="246"/>
      <c r="AQ86" s="247"/>
      <c r="AR86" s="247"/>
      <c r="AS86" s="247"/>
      <c r="AT86" s="248"/>
      <c r="AU86" s="249"/>
      <c r="AV86" s="247"/>
      <c r="AW86" s="247"/>
      <c r="AX86" s="247"/>
      <c r="AY86" s="309"/>
      <c r="AZ86" s="246"/>
      <c r="BA86" s="247"/>
      <c r="BB86" s="247"/>
      <c r="BC86" s="247"/>
      <c r="BD86" s="248"/>
      <c r="BE86" s="249"/>
      <c r="BF86" s="247"/>
      <c r="BG86" s="247"/>
      <c r="BH86" s="247"/>
      <c r="BI86" s="309"/>
      <c r="BJ86" s="246"/>
      <c r="BK86" s="247"/>
      <c r="BL86" s="247"/>
      <c r="BM86" s="247"/>
      <c r="BN86" s="248"/>
      <c r="BO86" s="246">
        <v>35</v>
      </c>
      <c r="BP86" s="247">
        <f t="shared" si="173"/>
        <v>233</v>
      </c>
      <c r="BQ86" s="247"/>
      <c r="BR86" s="247">
        <v>15</v>
      </c>
      <c r="BS86" s="247">
        <v>15</v>
      </c>
      <c r="BT86" s="247">
        <f t="shared" si="148"/>
        <v>268</v>
      </c>
      <c r="BU86" s="246">
        <v>35</v>
      </c>
      <c r="BV86" s="247">
        <f t="shared" si="174"/>
        <v>210</v>
      </c>
      <c r="BW86" s="247"/>
      <c r="BX86" s="247">
        <v>5</v>
      </c>
      <c r="BY86" s="247">
        <v>10</v>
      </c>
      <c r="BZ86" s="247">
        <f t="shared" si="149"/>
        <v>245</v>
      </c>
      <c r="CA86" s="246">
        <v>70</v>
      </c>
      <c r="CB86" s="247">
        <f t="shared" si="175"/>
        <v>183</v>
      </c>
      <c r="CC86" s="247"/>
      <c r="CD86" s="247">
        <v>15</v>
      </c>
      <c r="CE86" s="247">
        <v>25</v>
      </c>
      <c r="CF86" s="247">
        <f t="shared" si="150"/>
        <v>253</v>
      </c>
      <c r="CG86" s="246">
        <v>50</v>
      </c>
      <c r="CH86" s="247">
        <f t="shared" si="176"/>
        <v>210</v>
      </c>
      <c r="CI86" s="247"/>
      <c r="CJ86" s="247">
        <v>20</v>
      </c>
      <c r="CK86" s="247">
        <v>20</v>
      </c>
      <c r="CL86" s="247">
        <f t="shared" si="151"/>
        <v>260</v>
      </c>
      <c r="CM86" s="246">
        <v>40</v>
      </c>
      <c r="CN86" s="247">
        <f t="shared" si="177"/>
        <v>129</v>
      </c>
      <c r="CO86" s="247"/>
      <c r="CP86" s="247">
        <v>10</v>
      </c>
      <c r="CQ86" s="247">
        <v>20</v>
      </c>
      <c r="CR86" s="247">
        <f t="shared" si="152"/>
        <v>169</v>
      </c>
      <c r="CS86" s="246">
        <v>50</v>
      </c>
      <c r="CT86" s="247">
        <f t="shared" si="178"/>
        <v>205</v>
      </c>
      <c r="CU86" s="247"/>
      <c r="CV86" s="247">
        <v>15</v>
      </c>
      <c r="CW86" s="247">
        <v>15</v>
      </c>
      <c r="CX86" s="247">
        <f t="shared" si="153"/>
        <v>255</v>
      </c>
      <c r="CY86" s="246">
        <v>90</v>
      </c>
      <c r="CZ86" s="247">
        <f t="shared" si="179"/>
        <v>323</v>
      </c>
      <c r="DA86" s="247"/>
      <c r="DB86" s="247">
        <v>30</v>
      </c>
      <c r="DC86" s="247">
        <v>20</v>
      </c>
      <c r="DD86" s="247">
        <f t="shared" si="154"/>
        <v>413</v>
      </c>
      <c r="DE86" s="246">
        <v>160</v>
      </c>
      <c r="DF86" s="247">
        <f t="shared" si="180"/>
        <v>747</v>
      </c>
      <c r="DG86" s="247"/>
      <c r="DH86" s="247">
        <v>30</v>
      </c>
      <c r="DI86" s="247">
        <v>50</v>
      </c>
      <c r="DJ86" s="247">
        <f t="shared" si="155"/>
        <v>907</v>
      </c>
      <c r="DK86" s="249"/>
      <c r="DL86" s="247">
        <f t="shared" si="171"/>
        <v>0</v>
      </c>
      <c r="DM86" s="247"/>
      <c r="DN86" s="247"/>
      <c r="DO86" s="247"/>
      <c r="DP86" s="372">
        <f t="shared" si="110"/>
        <v>0</v>
      </c>
      <c r="DQ86" s="246">
        <v>80</v>
      </c>
      <c r="DR86" s="247">
        <f t="shared" si="181"/>
        <v>451</v>
      </c>
      <c r="DS86" s="247"/>
      <c r="DT86" s="247">
        <v>35</v>
      </c>
      <c r="DU86" s="247">
        <v>20</v>
      </c>
      <c r="DV86" s="247">
        <f t="shared" si="156"/>
        <v>531</v>
      </c>
      <c r="DW86" s="246">
        <v>160</v>
      </c>
      <c r="DX86" s="247">
        <f t="shared" si="182"/>
        <v>494</v>
      </c>
      <c r="DY86" s="247"/>
      <c r="DZ86" s="247">
        <v>40</v>
      </c>
      <c r="EA86" s="247">
        <v>40</v>
      </c>
      <c r="EB86" s="247">
        <f t="shared" si="157"/>
        <v>654</v>
      </c>
      <c r="EC86" s="246">
        <v>70</v>
      </c>
      <c r="ED86" s="247">
        <f t="shared" si="183"/>
        <v>253</v>
      </c>
      <c r="EE86" s="247"/>
      <c r="EF86" s="247">
        <v>20</v>
      </c>
      <c r="EG86" s="247">
        <v>15</v>
      </c>
      <c r="EH86" s="247">
        <f t="shared" si="158"/>
        <v>323</v>
      </c>
      <c r="EI86" s="249">
        <v>35</v>
      </c>
      <c r="EJ86" s="247">
        <f t="shared" si="184"/>
        <v>77</v>
      </c>
      <c r="EK86" s="247"/>
      <c r="EL86" s="247">
        <v>10</v>
      </c>
      <c r="EM86" s="247">
        <v>15</v>
      </c>
      <c r="EN86" s="247">
        <f t="shared" si="159"/>
        <v>112</v>
      </c>
      <c r="EO86" s="246">
        <v>6</v>
      </c>
      <c r="EP86" s="247">
        <f t="shared" si="185"/>
        <v>-3</v>
      </c>
      <c r="EQ86" s="247">
        <v>0</v>
      </c>
      <c r="ER86" s="247">
        <v>1</v>
      </c>
      <c r="ES86" s="247">
        <v>0</v>
      </c>
      <c r="ET86" s="247">
        <f t="shared" si="160"/>
        <v>3</v>
      </c>
      <c r="EU86" s="249"/>
      <c r="EV86" s="249"/>
      <c r="EW86" s="249"/>
      <c r="EX86" s="249"/>
      <c r="EY86" s="249"/>
      <c r="EZ86" s="249">
        <f t="shared" si="167"/>
        <v>0</v>
      </c>
      <c r="FA86" s="246">
        <f t="shared" si="169"/>
        <v>881</v>
      </c>
      <c r="FB86" s="247">
        <f t="shared" si="172"/>
        <v>3512</v>
      </c>
      <c r="FC86" s="247">
        <f t="shared" si="170"/>
        <v>0</v>
      </c>
      <c r="FD86" s="247">
        <f t="shared" si="168"/>
        <v>246</v>
      </c>
      <c r="FE86" s="247">
        <f t="shared" si="163"/>
        <v>265</v>
      </c>
      <c r="FF86" s="247">
        <f t="shared" si="186"/>
        <v>4393</v>
      </c>
      <c r="FG86" s="104" t="s">
        <v>151</v>
      </c>
      <c r="FH86" s="250" t="s">
        <v>142</v>
      </c>
      <c r="FI86" s="235"/>
      <c r="FJ86" s="235"/>
    </row>
    <row r="87" spans="1:166" x14ac:dyDescent="0.2">
      <c r="A87" s="250" t="s">
        <v>136</v>
      </c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249"/>
      <c r="W87" s="247"/>
      <c r="X87" s="247"/>
      <c r="Y87" s="247"/>
      <c r="Z87" s="248"/>
      <c r="AA87" s="249"/>
      <c r="AB87" s="247"/>
      <c r="AC87" s="247"/>
      <c r="AD87" s="247"/>
      <c r="AE87" s="309"/>
      <c r="AF87" s="246"/>
      <c r="AG87" s="247"/>
      <c r="AH87" s="247"/>
      <c r="AI87" s="247"/>
      <c r="AJ87" s="248"/>
      <c r="AK87" s="249"/>
      <c r="AL87" s="247"/>
      <c r="AM87" s="247"/>
      <c r="AN87" s="247"/>
      <c r="AO87" s="309"/>
      <c r="AP87" s="246"/>
      <c r="AQ87" s="247"/>
      <c r="AR87" s="247"/>
      <c r="AS87" s="247"/>
      <c r="AT87" s="248"/>
      <c r="AU87" s="249"/>
      <c r="AV87" s="247"/>
      <c r="AW87" s="247"/>
      <c r="AX87" s="247"/>
      <c r="AY87" s="309"/>
      <c r="AZ87" s="246"/>
      <c r="BA87" s="247"/>
      <c r="BB87" s="247"/>
      <c r="BC87" s="247"/>
      <c r="BD87" s="248"/>
      <c r="BE87" s="249"/>
      <c r="BF87" s="247"/>
      <c r="BG87" s="247"/>
      <c r="BH87" s="247"/>
      <c r="BI87" s="309"/>
      <c r="BJ87" s="246"/>
      <c r="BK87" s="247"/>
      <c r="BL87" s="247"/>
      <c r="BM87" s="247"/>
      <c r="BN87" s="248"/>
      <c r="BO87" s="246">
        <v>20</v>
      </c>
      <c r="BP87" s="247">
        <f t="shared" si="173"/>
        <v>238</v>
      </c>
      <c r="BQ87" s="247"/>
      <c r="BR87" s="247">
        <v>15</v>
      </c>
      <c r="BS87" s="247">
        <v>10</v>
      </c>
      <c r="BT87" s="247">
        <f t="shared" si="148"/>
        <v>258</v>
      </c>
      <c r="BU87" s="246">
        <v>15</v>
      </c>
      <c r="BV87" s="247">
        <f t="shared" si="174"/>
        <v>220</v>
      </c>
      <c r="BW87" s="247"/>
      <c r="BX87" s="247">
        <v>15</v>
      </c>
      <c r="BY87" s="247">
        <v>10</v>
      </c>
      <c r="BZ87" s="247">
        <f t="shared" si="149"/>
        <v>235</v>
      </c>
      <c r="CA87" s="246">
        <v>35</v>
      </c>
      <c r="CB87" s="247">
        <f t="shared" si="175"/>
        <v>203</v>
      </c>
      <c r="CC87" s="247"/>
      <c r="CD87" s="247">
        <v>25</v>
      </c>
      <c r="CE87" s="247">
        <v>25</v>
      </c>
      <c r="CF87" s="247">
        <f t="shared" si="150"/>
        <v>238</v>
      </c>
      <c r="CG87" s="246">
        <v>20</v>
      </c>
      <c r="CH87" s="247">
        <f t="shared" si="176"/>
        <v>220</v>
      </c>
      <c r="CI87" s="247"/>
      <c r="CJ87" s="247">
        <v>20</v>
      </c>
      <c r="CK87" s="247">
        <v>15</v>
      </c>
      <c r="CL87" s="247">
        <f t="shared" si="151"/>
        <v>240</v>
      </c>
      <c r="CM87" s="249">
        <v>20</v>
      </c>
      <c r="CN87" s="247">
        <f t="shared" si="177"/>
        <v>139</v>
      </c>
      <c r="CO87" s="247"/>
      <c r="CP87" s="247">
        <v>10</v>
      </c>
      <c r="CQ87" s="247">
        <v>20</v>
      </c>
      <c r="CR87" s="247">
        <f t="shared" si="152"/>
        <v>159</v>
      </c>
      <c r="CS87" s="246">
        <v>15</v>
      </c>
      <c r="CT87" s="247">
        <f t="shared" si="178"/>
        <v>225</v>
      </c>
      <c r="CU87" s="247"/>
      <c r="CV87" s="247">
        <v>15</v>
      </c>
      <c r="CW87" s="247">
        <v>10</v>
      </c>
      <c r="CX87" s="247">
        <f t="shared" si="153"/>
        <v>240</v>
      </c>
      <c r="CY87" s="246">
        <v>25</v>
      </c>
      <c r="CZ87" s="247">
        <f t="shared" si="179"/>
        <v>363</v>
      </c>
      <c r="DA87" s="247"/>
      <c r="DB87" s="247">
        <v>30</v>
      </c>
      <c r="DC87" s="247">
        <v>20</v>
      </c>
      <c r="DD87" s="247">
        <f t="shared" si="154"/>
        <v>388</v>
      </c>
      <c r="DE87" s="246">
        <v>80</v>
      </c>
      <c r="DF87" s="247">
        <f t="shared" si="180"/>
        <v>822</v>
      </c>
      <c r="DG87" s="247"/>
      <c r="DH87" s="247">
        <v>35</v>
      </c>
      <c r="DI87" s="247">
        <v>50</v>
      </c>
      <c r="DJ87" s="247">
        <f t="shared" si="155"/>
        <v>902</v>
      </c>
      <c r="DK87" s="249"/>
      <c r="DL87" s="247">
        <f t="shared" si="171"/>
        <v>0</v>
      </c>
      <c r="DM87" s="247"/>
      <c r="DN87" s="247"/>
      <c r="DO87" s="247"/>
      <c r="DP87" s="372">
        <f t="shared" si="110"/>
        <v>0</v>
      </c>
      <c r="DQ87" s="246">
        <v>20</v>
      </c>
      <c r="DR87" s="247">
        <f t="shared" si="181"/>
        <v>481</v>
      </c>
      <c r="DS87" s="247"/>
      <c r="DT87" s="247">
        <v>30</v>
      </c>
      <c r="DU87" s="247">
        <v>15</v>
      </c>
      <c r="DV87" s="247">
        <f t="shared" si="156"/>
        <v>501</v>
      </c>
      <c r="DW87" s="246">
        <v>40</v>
      </c>
      <c r="DX87" s="247">
        <f t="shared" si="182"/>
        <v>574</v>
      </c>
      <c r="DY87" s="247"/>
      <c r="DZ87" s="247">
        <v>40</v>
      </c>
      <c r="EA87" s="247">
        <v>30</v>
      </c>
      <c r="EB87" s="247">
        <f t="shared" si="157"/>
        <v>614</v>
      </c>
      <c r="EC87" s="246">
        <v>20</v>
      </c>
      <c r="ED87" s="247">
        <f t="shared" si="183"/>
        <v>288</v>
      </c>
      <c r="EE87" s="247"/>
      <c r="EF87" s="247">
        <v>20</v>
      </c>
      <c r="EG87" s="247">
        <v>15</v>
      </c>
      <c r="EH87" s="247">
        <f t="shared" si="158"/>
        <v>308</v>
      </c>
      <c r="EI87" s="249">
        <v>40</v>
      </c>
      <c r="EJ87" s="247">
        <f t="shared" si="184"/>
        <v>87</v>
      </c>
      <c r="EK87" s="247"/>
      <c r="EL87" s="247">
        <v>10</v>
      </c>
      <c r="EM87" s="247">
        <v>15</v>
      </c>
      <c r="EN87" s="247">
        <f t="shared" si="159"/>
        <v>127</v>
      </c>
      <c r="EO87" s="246">
        <v>0</v>
      </c>
      <c r="EP87" s="247">
        <f t="shared" si="185"/>
        <v>2</v>
      </c>
      <c r="EQ87" s="247">
        <v>0</v>
      </c>
      <c r="ER87" s="247">
        <v>1</v>
      </c>
      <c r="ES87" s="247">
        <v>4</v>
      </c>
      <c r="ET87" s="247">
        <f t="shared" si="160"/>
        <v>2</v>
      </c>
      <c r="EU87" s="249"/>
      <c r="EV87" s="249"/>
      <c r="EW87" s="249"/>
      <c r="EX87" s="249"/>
      <c r="EY87" s="249"/>
      <c r="EZ87" s="249">
        <f t="shared" si="167"/>
        <v>0</v>
      </c>
      <c r="FA87" s="246">
        <f t="shared" si="169"/>
        <v>350</v>
      </c>
      <c r="FB87" s="247">
        <f t="shared" si="172"/>
        <v>3862</v>
      </c>
      <c r="FC87" s="247">
        <f t="shared" si="170"/>
        <v>0</v>
      </c>
      <c r="FD87" s="247">
        <f t="shared" si="168"/>
        <v>266</v>
      </c>
      <c r="FE87" s="247">
        <f t="shared" si="163"/>
        <v>239</v>
      </c>
      <c r="FF87" s="247">
        <f t="shared" si="186"/>
        <v>4212</v>
      </c>
      <c r="FG87" s="104" t="s">
        <v>152</v>
      </c>
      <c r="FH87" s="250" t="s">
        <v>136</v>
      </c>
      <c r="FI87" s="235"/>
      <c r="FJ87" s="235"/>
    </row>
    <row r="88" spans="1:166" x14ac:dyDescent="0.2">
      <c r="A88" s="250" t="s">
        <v>143</v>
      </c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249"/>
      <c r="W88" s="247"/>
      <c r="X88" s="247"/>
      <c r="Y88" s="247"/>
      <c r="Z88" s="248"/>
      <c r="AA88" s="249"/>
      <c r="AB88" s="247"/>
      <c r="AC88" s="247"/>
      <c r="AD88" s="247"/>
      <c r="AE88" s="309"/>
      <c r="AF88" s="246"/>
      <c r="AG88" s="247"/>
      <c r="AH88" s="247"/>
      <c r="AI88" s="247"/>
      <c r="AJ88" s="248"/>
      <c r="AK88" s="249"/>
      <c r="AL88" s="247"/>
      <c r="AM88" s="247"/>
      <c r="AN88" s="247"/>
      <c r="AO88" s="309"/>
      <c r="AP88" s="246"/>
      <c r="AQ88" s="247"/>
      <c r="AR88" s="247"/>
      <c r="AS88" s="247"/>
      <c r="AT88" s="248"/>
      <c r="AU88" s="249"/>
      <c r="AV88" s="247"/>
      <c r="AW88" s="247"/>
      <c r="AX88" s="247"/>
      <c r="AY88" s="309"/>
      <c r="AZ88" s="246"/>
      <c r="BA88" s="247"/>
      <c r="BB88" s="247"/>
      <c r="BC88" s="247"/>
      <c r="BD88" s="248"/>
      <c r="BE88" s="249"/>
      <c r="BF88" s="247"/>
      <c r="BG88" s="247"/>
      <c r="BH88" s="247"/>
      <c r="BI88" s="309"/>
      <c r="BJ88" s="246"/>
      <c r="BK88" s="247"/>
      <c r="BL88" s="247"/>
      <c r="BM88" s="247"/>
      <c r="BN88" s="248"/>
      <c r="BO88" s="246">
        <v>35</v>
      </c>
      <c r="BP88" s="247">
        <f t="shared" si="173"/>
        <v>233</v>
      </c>
      <c r="BQ88" s="247"/>
      <c r="BR88" s="247">
        <v>15</v>
      </c>
      <c r="BS88" s="247">
        <v>15</v>
      </c>
      <c r="BT88" s="247">
        <f t="shared" si="148"/>
        <v>268</v>
      </c>
      <c r="BU88" s="246">
        <v>35</v>
      </c>
      <c r="BV88" s="247">
        <f t="shared" si="174"/>
        <v>220</v>
      </c>
      <c r="BW88" s="247"/>
      <c r="BX88" s="247">
        <v>5</v>
      </c>
      <c r="BY88" s="247">
        <v>10</v>
      </c>
      <c r="BZ88" s="247">
        <f t="shared" si="149"/>
        <v>255</v>
      </c>
      <c r="CA88" s="246">
        <v>70</v>
      </c>
      <c r="CB88" s="247">
        <f t="shared" si="175"/>
        <v>198</v>
      </c>
      <c r="CC88" s="247"/>
      <c r="CD88" s="247">
        <v>15</v>
      </c>
      <c r="CE88" s="247">
        <v>30</v>
      </c>
      <c r="CF88" s="247">
        <f t="shared" si="150"/>
        <v>268</v>
      </c>
      <c r="CG88" s="246">
        <v>50</v>
      </c>
      <c r="CH88" s="247">
        <f t="shared" si="176"/>
        <v>205</v>
      </c>
      <c r="CI88" s="247"/>
      <c r="CJ88" s="247">
        <v>20</v>
      </c>
      <c r="CK88" s="247">
        <v>20</v>
      </c>
      <c r="CL88" s="247">
        <f t="shared" si="151"/>
        <v>255</v>
      </c>
      <c r="CM88" s="246">
        <v>40</v>
      </c>
      <c r="CN88" s="247">
        <f t="shared" si="177"/>
        <v>129</v>
      </c>
      <c r="CO88" s="247"/>
      <c r="CP88" s="247">
        <v>10</v>
      </c>
      <c r="CQ88" s="247">
        <v>20</v>
      </c>
      <c r="CR88" s="247">
        <f t="shared" si="152"/>
        <v>169</v>
      </c>
      <c r="CS88" s="246">
        <v>50</v>
      </c>
      <c r="CT88" s="247">
        <f t="shared" si="178"/>
        <v>215</v>
      </c>
      <c r="CU88" s="247"/>
      <c r="CV88" s="247">
        <v>15</v>
      </c>
      <c r="CW88" s="247">
        <v>15</v>
      </c>
      <c r="CX88" s="247">
        <f t="shared" si="153"/>
        <v>265</v>
      </c>
      <c r="CY88" s="246">
        <v>90</v>
      </c>
      <c r="CZ88" s="247">
        <f t="shared" si="179"/>
        <v>338</v>
      </c>
      <c r="DA88" s="247"/>
      <c r="DB88" s="247">
        <v>30</v>
      </c>
      <c r="DC88" s="247">
        <v>20</v>
      </c>
      <c r="DD88" s="247">
        <f t="shared" si="154"/>
        <v>428</v>
      </c>
      <c r="DE88" s="246">
        <v>160</v>
      </c>
      <c r="DF88" s="247">
        <f t="shared" si="180"/>
        <v>822</v>
      </c>
      <c r="DG88" s="247"/>
      <c r="DH88" s="247">
        <v>30</v>
      </c>
      <c r="DI88" s="247">
        <v>60</v>
      </c>
      <c r="DJ88" s="247">
        <f t="shared" si="155"/>
        <v>982</v>
      </c>
      <c r="DK88" s="249"/>
      <c r="DL88" s="247">
        <f t="shared" si="171"/>
        <v>0</v>
      </c>
      <c r="DM88" s="247"/>
      <c r="DN88" s="247"/>
      <c r="DO88" s="247"/>
      <c r="DP88" s="372">
        <f t="shared" si="110"/>
        <v>0</v>
      </c>
      <c r="DQ88" s="246">
        <v>80</v>
      </c>
      <c r="DR88" s="247">
        <f t="shared" si="181"/>
        <v>451</v>
      </c>
      <c r="DS88" s="247"/>
      <c r="DT88" s="247">
        <v>35</v>
      </c>
      <c r="DU88" s="247">
        <v>20</v>
      </c>
      <c r="DV88" s="247">
        <f t="shared" si="156"/>
        <v>531</v>
      </c>
      <c r="DW88" s="246">
        <v>160</v>
      </c>
      <c r="DX88" s="247">
        <f t="shared" si="182"/>
        <v>544</v>
      </c>
      <c r="DY88" s="247"/>
      <c r="DZ88" s="247">
        <v>40</v>
      </c>
      <c r="EA88" s="247">
        <v>40</v>
      </c>
      <c r="EB88" s="247">
        <f t="shared" si="157"/>
        <v>704</v>
      </c>
      <c r="EC88" s="246">
        <v>70</v>
      </c>
      <c r="ED88" s="247">
        <f t="shared" si="183"/>
        <v>273</v>
      </c>
      <c r="EE88" s="247"/>
      <c r="EF88" s="247">
        <v>20</v>
      </c>
      <c r="EG88" s="247">
        <v>15</v>
      </c>
      <c r="EH88" s="247">
        <f t="shared" si="158"/>
        <v>343</v>
      </c>
      <c r="EI88" s="249">
        <v>35</v>
      </c>
      <c r="EJ88" s="247">
        <f t="shared" si="184"/>
        <v>102</v>
      </c>
      <c r="EK88" s="247"/>
      <c r="EL88" s="247">
        <v>10</v>
      </c>
      <c r="EM88" s="247">
        <v>15</v>
      </c>
      <c r="EN88" s="247">
        <f t="shared" si="159"/>
        <v>137</v>
      </c>
      <c r="EO88" s="246">
        <v>6</v>
      </c>
      <c r="EP88" s="247">
        <f t="shared" si="185"/>
        <v>-3</v>
      </c>
      <c r="EQ88" s="247">
        <v>0</v>
      </c>
      <c r="ER88" s="247">
        <v>1</v>
      </c>
      <c r="ES88" s="247">
        <v>0</v>
      </c>
      <c r="ET88" s="247">
        <f t="shared" si="160"/>
        <v>3</v>
      </c>
      <c r="EU88" s="249"/>
      <c r="EV88" s="249"/>
      <c r="EW88" s="249"/>
      <c r="EX88" s="249"/>
      <c r="EY88" s="249"/>
      <c r="EZ88" s="249">
        <f t="shared" si="167"/>
        <v>0</v>
      </c>
      <c r="FA88" s="246">
        <f t="shared" si="169"/>
        <v>881</v>
      </c>
      <c r="FB88" s="247">
        <f t="shared" si="172"/>
        <v>3727</v>
      </c>
      <c r="FC88" s="247">
        <f t="shared" si="170"/>
        <v>0</v>
      </c>
      <c r="FD88" s="247">
        <f t="shared" si="168"/>
        <v>246</v>
      </c>
      <c r="FE88" s="247">
        <f t="shared" si="163"/>
        <v>280</v>
      </c>
      <c r="FF88" s="247">
        <f t="shared" si="186"/>
        <v>4608</v>
      </c>
      <c r="FG88" s="104" t="s">
        <v>153</v>
      </c>
      <c r="FH88" s="250" t="s">
        <v>143</v>
      </c>
      <c r="FI88" s="235"/>
      <c r="FJ88" s="235"/>
    </row>
    <row r="89" spans="1:166" x14ac:dyDescent="0.2">
      <c r="A89" s="250" t="s">
        <v>137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249"/>
      <c r="W89" s="247"/>
      <c r="X89" s="247"/>
      <c r="Y89" s="247"/>
      <c r="Z89" s="248"/>
      <c r="AA89" s="249"/>
      <c r="AB89" s="247"/>
      <c r="AC89" s="247"/>
      <c r="AD89" s="247"/>
      <c r="AE89" s="309"/>
      <c r="AF89" s="246"/>
      <c r="AG89" s="247"/>
      <c r="AH89" s="247"/>
      <c r="AI89" s="247"/>
      <c r="AJ89" s="248"/>
      <c r="AK89" s="249"/>
      <c r="AL89" s="247"/>
      <c r="AM89" s="247"/>
      <c r="AN89" s="247"/>
      <c r="AO89" s="309"/>
      <c r="AP89" s="246"/>
      <c r="AQ89" s="247"/>
      <c r="AR89" s="247"/>
      <c r="AS89" s="247"/>
      <c r="AT89" s="248"/>
      <c r="AU89" s="249"/>
      <c r="AV89" s="247"/>
      <c r="AW89" s="247"/>
      <c r="AX89" s="247"/>
      <c r="AY89" s="309"/>
      <c r="AZ89" s="246"/>
      <c r="BA89" s="247"/>
      <c r="BB89" s="247"/>
      <c r="BC89" s="247"/>
      <c r="BD89" s="248"/>
      <c r="BE89" s="249"/>
      <c r="BF89" s="247"/>
      <c r="BG89" s="247"/>
      <c r="BH89" s="247"/>
      <c r="BI89" s="309"/>
      <c r="BJ89" s="246"/>
      <c r="BK89" s="247"/>
      <c r="BL89" s="247"/>
      <c r="BM89" s="247"/>
      <c r="BN89" s="248"/>
      <c r="BO89" s="246">
        <v>20</v>
      </c>
      <c r="BP89" s="247">
        <f t="shared" si="173"/>
        <v>238</v>
      </c>
      <c r="BQ89" s="247"/>
      <c r="BR89" s="247">
        <v>15</v>
      </c>
      <c r="BS89" s="247">
        <v>10</v>
      </c>
      <c r="BT89" s="247">
        <f t="shared" si="148"/>
        <v>258</v>
      </c>
      <c r="BU89" s="246">
        <v>15</v>
      </c>
      <c r="BV89" s="247">
        <f t="shared" si="174"/>
        <v>230</v>
      </c>
      <c r="BW89" s="247"/>
      <c r="BX89" s="247">
        <v>15</v>
      </c>
      <c r="BY89" s="247">
        <v>10</v>
      </c>
      <c r="BZ89" s="247">
        <f t="shared" si="149"/>
        <v>245</v>
      </c>
      <c r="CA89" s="246">
        <v>35</v>
      </c>
      <c r="CB89" s="247">
        <f t="shared" si="175"/>
        <v>213</v>
      </c>
      <c r="CC89" s="247"/>
      <c r="CD89" s="247">
        <v>25</v>
      </c>
      <c r="CE89" s="247">
        <v>30</v>
      </c>
      <c r="CF89" s="247">
        <f t="shared" si="150"/>
        <v>248</v>
      </c>
      <c r="CG89" s="246">
        <v>20</v>
      </c>
      <c r="CH89" s="247">
        <f t="shared" si="176"/>
        <v>215</v>
      </c>
      <c r="CI89" s="247"/>
      <c r="CJ89" s="247">
        <v>20</v>
      </c>
      <c r="CK89" s="247">
        <v>15</v>
      </c>
      <c r="CL89" s="247">
        <f t="shared" si="151"/>
        <v>235</v>
      </c>
      <c r="CM89" s="249">
        <v>20</v>
      </c>
      <c r="CN89" s="247">
        <f t="shared" si="177"/>
        <v>139</v>
      </c>
      <c r="CO89" s="247"/>
      <c r="CP89" s="247">
        <v>10</v>
      </c>
      <c r="CQ89" s="247">
        <v>20</v>
      </c>
      <c r="CR89" s="247">
        <f t="shared" si="152"/>
        <v>159</v>
      </c>
      <c r="CS89" s="246">
        <v>15</v>
      </c>
      <c r="CT89" s="247">
        <f t="shared" si="178"/>
        <v>235</v>
      </c>
      <c r="CU89" s="247"/>
      <c r="CV89" s="247">
        <v>15</v>
      </c>
      <c r="CW89" s="247">
        <v>10</v>
      </c>
      <c r="CX89" s="247">
        <f t="shared" si="153"/>
        <v>250</v>
      </c>
      <c r="CY89" s="246">
        <v>25</v>
      </c>
      <c r="CZ89" s="247">
        <f t="shared" si="179"/>
        <v>378</v>
      </c>
      <c r="DA89" s="247"/>
      <c r="DB89" s="247">
        <v>30</v>
      </c>
      <c r="DC89" s="247">
        <v>20</v>
      </c>
      <c r="DD89" s="247">
        <f t="shared" si="154"/>
        <v>403</v>
      </c>
      <c r="DE89" s="246">
        <v>80</v>
      </c>
      <c r="DF89" s="247">
        <f t="shared" si="180"/>
        <v>887</v>
      </c>
      <c r="DG89" s="247"/>
      <c r="DH89" s="247">
        <v>35</v>
      </c>
      <c r="DI89" s="247">
        <v>60</v>
      </c>
      <c r="DJ89" s="247">
        <f t="shared" si="155"/>
        <v>967</v>
      </c>
      <c r="DK89" s="249"/>
      <c r="DL89" s="247">
        <f t="shared" si="171"/>
        <v>0</v>
      </c>
      <c r="DM89" s="247"/>
      <c r="DN89" s="247"/>
      <c r="DO89" s="247"/>
      <c r="DP89" s="372">
        <f t="shared" si="110"/>
        <v>0</v>
      </c>
      <c r="DQ89" s="246">
        <v>20</v>
      </c>
      <c r="DR89" s="247">
        <f t="shared" si="181"/>
        <v>481</v>
      </c>
      <c r="DS89" s="247"/>
      <c r="DT89" s="247">
        <v>30</v>
      </c>
      <c r="DU89" s="247">
        <v>15</v>
      </c>
      <c r="DV89" s="247">
        <f t="shared" si="156"/>
        <v>501</v>
      </c>
      <c r="DW89" s="246">
        <v>40</v>
      </c>
      <c r="DX89" s="247">
        <f t="shared" si="182"/>
        <v>624</v>
      </c>
      <c r="DY89" s="247"/>
      <c r="DZ89" s="247">
        <v>40</v>
      </c>
      <c r="EA89" s="247">
        <v>30</v>
      </c>
      <c r="EB89" s="247">
        <f t="shared" si="157"/>
        <v>664</v>
      </c>
      <c r="EC89" s="246">
        <v>20</v>
      </c>
      <c r="ED89" s="247">
        <f t="shared" si="183"/>
        <v>308</v>
      </c>
      <c r="EE89" s="247"/>
      <c r="EF89" s="247">
        <v>20</v>
      </c>
      <c r="EG89" s="247">
        <v>15</v>
      </c>
      <c r="EH89" s="247">
        <f t="shared" si="158"/>
        <v>328</v>
      </c>
      <c r="EI89" s="249">
        <v>40</v>
      </c>
      <c r="EJ89" s="247">
        <f t="shared" si="184"/>
        <v>112</v>
      </c>
      <c r="EK89" s="247"/>
      <c r="EL89" s="247">
        <v>10</v>
      </c>
      <c r="EM89" s="247">
        <v>15</v>
      </c>
      <c r="EN89" s="247">
        <f t="shared" si="159"/>
        <v>152</v>
      </c>
      <c r="EO89" s="246">
        <v>0</v>
      </c>
      <c r="EP89" s="247">
        <f t="shared" si="185"/>
        <v>2</v>
      </c>
      <c r="EQ89" s="247">
        <v>0</v>
      </c>
      <c r="ER89" s="247">
        <v>1</v>
      </c>
      <c r="ES89" s="247">
        <v>4</v>
      </c>
      <c r="ET89" s="247">
        <f t="shared" si="160"/>
        <v>2</v>
      </c>
      <c r="EU89" s="249"/>
      <c r="EV89" s="249"/>
      <c r="EW89" s="249"/>
      <c r="EX89" s="249"/>
      <c r="EY89" s="249"/>
      <c r="EZ89" s="249">
        <f t="shared" si="167"/>
        <v>0</v>
      </c>
      <c r="FA89" s="246">
        <f t="shared" si="169"/>
        <v>350</v>
      </c>
      <c r="FB89" s="247">
        <f t="shared" si="172"/>
        <v>4062</v>
      </c>
      <c r="FC89" s="247">
        <f t="shared" si="170"/>
        <v>0</v>
      </c>
      <c r="FD89" s="247">
        <f t="shared" si="168"/>
        <v>266</v>
      </c>
      <c r="FE89" s="247">
        <f t="shared" si="163"/>
        <v>254</v>
      </c>
      <c r="FF89" s="247">
        <f t="shared" si="186"/>
        <v>4412</v>
      </c>
      <c r="FG89" s="104" t="s">
        <v>154</v>
      </c>
      <c r="FH89" s="250" t="s">
        <v>137</v>
      </c>
      <c r="FI89" s="235"/>
      <c r="FJ89" s="235"/>
    </row>
    <row r="90" spans="1:166" x14ac:dyDescent="0.2">
      <c r="A90" s="250" t="s">
        <v>144</v>
      </c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249"/>
      <c r="W90" s="247"/>
      <c r="X90" s="247"/>
      <c r="Y90" s="247"/>
      <c r="Z90" s="248"/>
      <c r="AA90" s="249"/>
      <c r="AB90" s="247"/>
      <c r="AC90" s="247"/>
      <c r="AD90" s="247"/>
      <c r="AE90" s="309"/>
      <c r="AF90" s="246"/>
      <c r="AG90" s="247"/>
      <c r="AH90" s="247"/>
      <c r="AI90" s="247"/>
      <c r="AJ90" s="248"/>
      <c r="AK90" s="249"/>
      <c r="AL90" s="247"/>
      <c r="AM90" s="247"/>
      <c r="AN90" s="247"/>
      <c r="AO90" s="309"/>
      <c r="AP90" s="246"/>
      <c r="AQ90" s="247"/>
      <c r="AR90" s="247"/>
      <c r="AS90" s="247"/>
      <c r="AT90" s="248"/>
      <c r="AU90" s="249"/>
      <c r="AV90" s="247"/>
      <c r="AW90" s="247"/>
      <c r="AX90" s="247"/>
      <c r="AY90" s="309"/>
      <c r="AZ90" s="246"/>
      <c r="BA90" s="247"/>
      <c r="BB90" s="247"/>
      <c r="BC90" s="247"/>
      <c r="BD90" s="248"/>
      <c r="BE90" s="249"/>
      <c r="BF90" s="247"/>
      <c r="BG90" s="247"/>
      <c r="BH90" s="247"/>
      <c r="BI90" s="309"/>
      <c r="BJ90" s="246"/>
      <c r="BK90" s="247"/>
      <c r="BL90" s="247"/>
      <c r="BM90" s="247"/>
      <c r="BN90" s="248"/>
      <c r="BO90" s="246">
        <v>35</v>
      </c>
      <c r="BP90" s="247">
        <f t="shared" si="173"/>
        <v>233</v>
      </c>
      <c r="BQ90" s="247"/>
      <c r="BR90" s="247">
        <v>15</v>
      </c>
      <c r="BS90" s="247">
        <v>15</v>
      </c>
      <c r="BT90" s="247">
        <f t="shared" si="148"/>
        <v>268</v>
      </c>
      <c r="BU90" s="246">
        <v>35</v>
      </c>
      <c r="BV90" s="247">
        <f t="shared" si="174"/>
        <v>230</v>
      </c>
      <c r="BW90" s="247"/>
      <c r="BX90" s="247">
        <v>5</v>
      </c>
      <c r="BY90" s="247">
        <v>10</v>
      </c>
      <c r="BZ90" s="247">
        <f t="shared" si="149"/>
        <v>265</v>
      </c>
      <c r="CA90" s="246">
        <v>70</v>
      </c>
      <c r="CB90" s="247">
        <f t="shared" si="175"/>
        <v>203</v>
      </c>
      <c r="CC90" s="247"/>
      <c r="CD90" s="247">
        <v>15</v>
      </c>
      <c r="CE90" s="247">
        <v>30</v>
      </c>
      <c r="CF90" s="247">
        <f t="shared" si="150"/>
        <v>273</v>
      </c>
      <c r="CG90" s="246">
        <v>50</v>
      </c>
      <c r="CH90" s="247">
        <f t="shared" si="176"/>
        <v>200</v>
      </c>
      <c r="CI90" s="247"/>
      <c r="CJ90" s="247">
        <v>20</v>
      </c>
      <c r="CK90" s="247">
        <v>20</v>
      </c>
      <c r="CL90" s="247">
        <f t="shared" si="151"/>
        <v>250</v>
      </c>
      <c r="CM90" s="246">
        <v>40</v>
      </c>
      <c r="CN90" s="247">
        <f t="shared" si="177"/>
        <v>129</v>
      </c>
      <c r="CO90" s="247"/>
      <c r="CP90" s="247">
        <v>10</v>
      </c>
      <c r="CQ90" s="247">
        <v>20</v>
      </c>
      <c r="CR90" s="247">
        <f t="shared" si="152"/>
        <v>169</v>
      </c>
      <c r="CS90" s="246">
        <v>50</v>
      </c>
      <c r="CT90" s="247">
        <f t="shared" si="178"/>
        <v>225</v>
      </c>
      <c r="CU90" s="247"/>
      <c r="CV90" s="247">
        <v>15</v>
      </c>
      <c r="CW90" s="247">
        <v>15</v>
      </c>
      <c r="CX90" s="247">
        <f t="shared" si="153"/>
        <v>275</v>
      </c>
      <c r="CY90" s="246">
        <v>90</v>
      </c>
      <c r="CZ90" s="247">
        <f t="shared" si="179"/>
        <v>353</v>
      </c>
      <c r="DA90" s="247"/>
      <c r="DB90" s="247">
        <v>30</v>
      </c>
      <c r="DC90" s="247">
        <v>20</v>
      </c>
      <c r="DD90" s="247">
        <f t="shared" si="154"/>
        <v>443</v>
      </c>
      <c r="DE90" s="246">
        <v>160</v>
      </c>
      <c r="DF90" s="247">
        <f t="shared" si="180"/>
        <v>877</v>
      </c>
      <c r="DG90" s="247"/>
      <c r="DH90" s="247">
        <v>30</v>
      </c>
      <c r="DI90" s="247">
        <v>60</v>
      </c>
      <c r="DJ90" s="247">
        <f t="shared" si="155"/>
        <v>1037</v>
      </c>
      <c r="DK90" s="249"/>
      <c r="DL90" s="247">
        <f t="shared" si="171"/>
        <v>0</v>
      </c>
      <c r="DM90" s="247"/>
      <c r="DN90" s="247"/>
      <c r="DO90" s="247"/>
      <c r="DP90" s="372">
        <f t="shared" si="110"/>
        <v>0</v>
      </c>
      <c r="DQ90" s="246">
        <v>80</v>
      </c>
      <c r="DR90" s="247">
        <f t="shared" si="181"/>
        <v>451</v>
      </c>
      <c r="DS90" s="247"/>
      <c r="DT90" s="247">
        <v>35</v>
      </c>
      <c r="DU90" s="247">
        <v>20</v>
      </c>
      <c r="DV90" s="247">
        <f t="shared" si="156"/>
        <v>531</v>
      </c>
      <c r="DW90" s="246">
        <v>160</v>
      </c>
      <c r="DX90" s="247">
        <f t="shared" si="182"/>
        <v>594</v>
      </c>
      <c r="DY90" s="247"/>
      <c r="DZ90" s="247">
        <v>40</v>
      </c>
      <c r="EA90" s="247">
        <v>40</v>
      </c>
      <c r="EB90" s="247">
        <f t="shared" si="157"/>
        <v>754</v>
      </c>
      <c r="EC90" s="246">
        <v>70</v>
      </c>
      <c r="ED90" s="247">
        <f t="shared" si="183"/>
        <v>293</v>
      </c>
      <c r="EE90" s="247"/>
      <c r="EF90" s="247">
        <v>20</v>
      </c>
      <c r="EG90" s="247">
        <v>15</v>
      </c>
      <c r="EH90" s="247">
        <f t="shared" si="158"/>
        <v>363</v>
      </c>
      <c r="EI90" s="249">
        <v>35</v>
      </c>
      <c r="EJ90" s="247">
        <f t="shared" si="184"/>
        <v>127</v>
      </c>
      <c r="EK90" s="247"/>
      <c r="EL90" s="247">
        <v>10</v>
      </c>
      <c r="EM90" s="247">
        <v>15</v>
      </c>
      <c r="EN90" s="247">
        <f t="shared" si="159"/>
        <v>162</v>
      </c>
      <c r="EO90" s="246">
        <v>10</v>
      </c>
      <c r="EP90" s="247">
        <f t="shared" si="185"/>
        <v>-3</v>
      </c>
      <c r="EQ90" s="247">
        <v>0</v>
      </c>
      <c r="ER90" s="247">
        <v>1</v>
      </c>
      <c r="ES90" s="247">
        <v>0</v>
      </c>
      <c r="ET90" s="247">
        <f t="shared" si="160"/>
        <v>7</v>
      </c>
      <c r="EU90" s="249"/>
      <c r="EV90" s="249"/>
      <c r="EW90" s="249"/>
      <c r="EX90" s="249"/>
      <c r="EY90" s="249"/>
      <c r="EZ90" s="249">
        <f t="shared" si="167"/>
        <v>0</v>
      </c>
      <c r="FA90" s="246">
        <f t="shared" si="169"/>
        <v>885</v>
      </c>
      <c r="FB90" s="247">
        <f t="shared" si="172"/>
        <v>3912</v>
      </c>
      <c r="FC90" s="247">
        <f t="shared" si="170"/>
        <v>0</v>
      </c>
      <c r="FD90" s="247">
        <f t="shared" si="168"/>
        <v>246</v>
      </c>
      <c r="FE90" s="247">
        <f t="shared" si="163"/>
        <v>280</v>
      </c>
      <c r="FF90" s="247">
        <f t="shared" si="186"/>
        <v>4797</v>
      </c>
      <c r="FG90" s="104" t="s">
        <v>155</v>
      </c>
      <c r="FH90" s="250" t="s">
        <v>144</v>
      </c>
      <c r="FI90" s="235"/>
      <c r="FJ90" s="235"/>
    </row>
    <row r="91" spans="1:166" x14ac:dyDescent="0.2">
      <c r="A91" s="250" t="s">
        <v>138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249"/>
      <c r="W91" s="247"/>
      <c r="X91" s="247"/>
      <c r="Y91" s="247"/>
      <c r="Z91" s="248"/>
      <c r="AA91" s="249"/>
      <c r="AB91" s="247"/>
      <c r="AC91" s="247"/>
      <c r="AD91" s="247"/>
      <c r="AE91" s="309"/>
      <c r="AF91" s="246"/>
      <c r="AG91" s="247"/>
      <c r="AH91" s="247"/>
      <c r="AI91" s="247"/>
      <c r="AJ91" s="248"/>
      <c r="AK91" s="249"/>
      <c r="AL91" s="247"/>
      <c r="AM91" s="247"/>
      <c r="AN91" s="247"/>
      <c r="AO91" s="309"/>
      <c r="AP91" s="246"/>
      <c r="AQ91" s="247"/>
      <c r="AR91" s="247"/>
      <c r="AS91" s="247"/>
      <c r="AT91" s="248"/>
      <c r="AU91" s="249"/>
      <c r="AV91" s="247"/>
      <c r="AW91" s="247"/>
      <c r="AX91" s="247"/>
      <c r="AY91" s="309"/>
      <c r="AZ91" s="246"/>
      <c r="BA91" s="247"/>
      <c r="BB91" s="247"/>
      <c r="BC91" s="247"/>
      <c r="BD91" s="248"/>
      <c r="BE91" s="249"/>
      <c r="BF91" s="247"/>
      <c r="BG91" s="247"/>
      <c r="BH91" s="247"/>
      <c r="BI91" s="309"/>
      <c r="BJ91" s="246"/>
      <c r="BK91" s="247"/>
      <c r="BL91" s="247"/>
      <c r="BM91" s="247"/>
      <c r="BN91" s="248"/>
      <c r="BO91" s="246">
        <v>20</v>
      </c>
      <c r="BP91" s="247">
        <f t="shared" si="173"/>
        <v>238</v>
      </c>
      <c r="BQ91" s="247"/>
      <c r="BR91" s="247">
        <v>15</v>
      </c>
      <c r="BS91" s="247">
        <v>10</v>
      </c>
      <c r="BT91" s="247">
        <f t="shared" si="148"/>
        <v>258</v>
      </c>
      <c r="BU91" s="246">
        <v>15</v>
      </c>
      <c r="BV91" s="247">
        <f t="shared" si="174"/>
        <v>240</v>
      </c>
      <c r="BW91" s="247"/>
      <c r="BX91" s="247">
        <v>15</v>
      </c>
      <c r="BY91" s="247">
        <v>10</v>
      </c>
      <c r="BZ91" s="247">
        <f t="shared" si="149"/>
        <v>255</v>
      </c>
      <c r="CA91" s="246">
        <v>35</v>
      </c>
      <c r="CB91" s="247">
        <f t="shared" si="175"/>
        <v>218</v>
      </c>
      <c r="CC91" s="247"/>
      <c r="CD91" s="247">
        <v>25</v>
      </c>
      <c r="CE91" s="247">
        <v>30</v>
      </c>
      <c r="CF91" s="247">
        <f t="shared" si="150"/>
        <v>253</v>
      </c>
      <c r="CG91" s="246">
        <v>20</v>
      </c>
      <c r="CH91" s="247">
        <f t="shared" si="176"/>
        <v>210</v>
      </c>
      <c r="CI91" s="247"/>
      <c r="CJ91" s="247">
        <v>20</v>
      </c>
      <c r="CK91" s="247">
        <v>15</v>
      </c>
      <c r="CL91" s="247">
        <f t="shared" si="151"/>
        <v>230</v>
      </c>
      <c r="CM91" s="249">
        <v>20</v>
      </c>
      <c r="CN91" s="247">
        <f t="shared" si="177"/>
        <v>139</v>
      </c>
      <c r="CO91" s="247"/>
      <c r="CP91" s="247">
        <v>10</v>
      </c>
      <c r="CQ91" s="247">
        <v>20</v>
      </c>
      <c r="CR91" s="247">
        <f t="shared" si="152"/>
        <v>159</v>
      </c>
      <c r="CS91" s="246">
        <v>15</v>
      </c>
      <c r="CT91" s="247">
        <f t="shared" si="178"/>
        <v>245</v>
      </c>
      <c r="CU91" s="247"/>
      <c r="CV91" s="247">
        <v>15</v>
      </c>
      <c r="CW91" s="247">
        <v>10</v>
      </c>
      <c r="CX91" s="247">
        <f t="shared" si="153"/>
        <v>260</v>
      </c>
      <c r="CY91" s="246">
        <v>25</v>
      </c>
      <c r="CZ91" s="247">
        <f t="shared" si="179"/>
        <v>393</v>
      </c>
      <c r="DA91" s="247"/>
      <c r="DB91" s="247">
        <v>30</v>
      </c>
      <c r="DC91" s="247">
        <v>20</v>
      </c>
      <c r="DD91" s="247">
        <f t="shared" si="154"/>
        <v>418</v>
      </c>
      <c r="DE91" s="246">
        <v>80</v>
      </c>
      <c r="DF91" s="247">
        <f t="shared" si="180"/>
        <v>942</v>
      </c>
      <c r="DG91" s="247"/>
      <c r="DH91" s="247">
        <v>35</v>
      </c>
      <c r="DI91" s="247">
        <v>60</v>
      </c>
      <c r="DJ91" s="247">
        <f t="shared" si="155"/>
        <v>1022</v>
      </c>
      <c r="DK91" s="249"/>
      <c r="DL91" s="247">
        <f t="shared" si="171"/>
        <v>0</v>
      </c>
      <c r="DM91" s="247"/>
      <c r="DN91" s="247"/>
      <c r="DO91" s="247"/>
      <c r="DP91" s="372">
        <f t="shared" si="110"/>
        <v>0</v>
      </c>
      <c r="DQ91" s="246">
        <v>20</v>
      </c>
      <c r="DR91" s="247">
        <f t="shared" si="181"/>
        <v>481</v>
      </c>
      <c r="DS91" s="247"/>
      <c r="DT91" s="247">
        <v>30</v>
      </c>
      <c r="DU91" s="247">
        <v>15</v>
      </c>
      <c r="DV91" s="247">
        <f t="shared" si="156"/>
        <v>501</v>
      </c>
      <c r="DW91" s="246">
        <v>40</v>
      </c>
      <c r="DX91" s="247">
        <f t="shared" si="182"/>
        <v>674</v>
      </c>
      <c r="DY91" s="247"/>
      <c r="DZ91" s="247">
        <v>40</v>
      </c>
      <c r="EA91" s="247">
        <v>30</v>
      </c>
      <c r="EB91" s="247">
        <f t="shared" si="157"/>
        <v>714</v>
      </c>
      <c r="EC91" s="246">
        <v>20</v>
      </c>
      <c r="ED91" s="247">
        <f t="shared" si="183"/>
        <v>328</v>
      </c>
      <c r="EE91" s="247"/>
      <c r="EF91" s="247">
        <v>20</v>
      </c>
      <c r="EG91" s="247">
        <v>15</v>
      </c>
      <c r="EH91" s="247">
        <f t="shared" si="158"/>
        <v>348</v>
      </c>
      <c r="EI91" s="249">
        <v>40</v>
      </c>
      <c r="EJ91" s="247">
        <f t="shared" si="184"/>
        <v>137</v>
      </c>
      <c r="EK91" s="247"/>
      <c r="EL91" s="247">
        <v>10</v>
      </c>
      <c r="EM91" s="247">
        <v>15</v>
      </c>
      <c r="EN91" s="247">
        <f t="shared" si="159"/>
        <v>177</v>
      </c>
      <c r="EO91" s="246">
        <v>0</v>
      </c>
      <c r="EP91" s="247">
        <f t="shared" si="185"/>
        <v>6</v>
      </c>
      <c r="EQ91" s="247">
        <v>0</v>
      </c>
      <c r="ER91" s="247">
        <v>1</v>
      </c>
      <c r="ES91" s="247">
        <v>8</v>
      </c>
      <c r="ET91" s="247">
        <f t="shared" si="160"/>
        <v>6</v>
      </c>
      <c r="EU91" s="249"/>
      <c r="EV91" s="249"/>
      <c r="EW91" s="249"/>
      <c r="EX91" s="249"/>
      <c r="EY91" s="249"/>
      <c r="EZ91" s="249">
        <f t="shared" si="167"/>
        <v>0</v>
      </c>
      <c r="FA91" s="246">
        <f t="shared" si="169"/>
        <v>350</v>
      </c>
      <c r="FB91" s="247">
        <f t="shared" si="172"/>
        <v>4251</v>
      </c>
      <c r="FC91" s="247">
        <f t="shared" si="170"/>
        <v>0</v>
      </c>
      <c r="FD91" s="247">
        <f t="shared" si="168"/>
        <v>266</v>
      </c>
      <c r="FE91" s="247">
        <f t="shared" si="163"/>
        <v>258</v>
      </c>
      <c r="FF91" s="247">
        <f t="shared" si="186"/>
        <v>4601</v>
      </c>
      <c r="FG91" s="104" t="s">
        <v>156</v>
      </c>
      <c r="FH91" s="250" t="s">
        <v>138</v>
      </c>
      <c r="FI91" s="235"/>
      <c r="FJ91" s="235"/>
    </row>
    <row r="92" spans="1:166" x14ac:dyDescent="0.2">
      <c r="A92" s="250" t="s">
        <v>145</v>
      </c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249"/>
      <c r="W92" s="247"/>
      <c r="X92" s="247"/>
      <c r="Y92" s="247"/>
      <c r="Z92" s="248"/>
      <c r="AA92" s="249"/>
      <c r="AB92" s="247"/>
      <c r="AC92" s="247"/>
      <c r="AD92" s="247"/>
      <c r="AE92" s="309"/>
      <c r="AF92" s="246"/>
      <c r="AG92" s="247"/>
      <c r="AH92" s="247"/>
      <c r="AI92" s="247"/>
      <c r="AJ92" s="248"/>
      <c r="AK92" s="249"/>
      <c r="AL92" s="247"/>
      <c r="AM92" s="247"/>
      <c r="AN92" s="247"/>
      <c r="AO92" s="309"/>
      <c r="AP92" s="246"/>
      <c r="AQ92" s="247"/>
      <c r="AR92" s="247"/>
      <c r="AS92" s="247"/>
      <c r="AT92" s="248"/>
      <c r="AU92" s="249"/>
      <c r="AV92" s="247"/>
      <c r="AW92" s="247"/>
      <c r="AX92" s="247"/>
      <c r="AY92" s="309"/>
      <c r="AZ92" s="246"/>
      <c r="BA92" s="247"/>
      <c r="BB92" s="247"/>
      <c r="BC92" s="247"/>
      <c r="BD92" s="248"/>
      <c r="BE92" s="249"/>
      <c r="BF92" s="247"/>
      <c r="BG92" s="247"/>
      <c r="BH92" s="247"/>
      <c r="BI92" s="309"/>
      <c r="BJ92" s="246"/>
      <c r="BK92" s="247"/>
      <c r="BL92" s="247"/>
      <c r="BM92" s="247"/>
      <c r="BN92" s="248"/>
      <c r="BO92" s="246">
        <v>35</v>
      </c>
      <c r="BP92" s="247">
        <f t="shared" si="173"/>
        <v>233</v>
      </c>
      <c r="BQ92" s="247"/>
      <c r="BR92" s="247">
        <v>15</v>
      </c>
      <c r="BS92" s="247">
        <v>15</v>
      </c>
      <c r="BT92" s="247">
        <f t="shared" si="148"/>
        <v>268</v>
      </c>
      <c r="BU92" s="246">
        <v>35</v>
      </c>
      <c r="BV92" s="247">
        <f t="shared" si="174"/>
        <v>240</v>
      </c>
      <c r="BW92" s="247"/>
      <c r="BX92" s="247">
        <v>5</v>
      </c>
      <c r="BY92" s="247">
        <v>10</v>
      </c>
      <c r="BZ92" s="247">
        <f t="shared" si="149"/>
        <v>275</v>
      </c>
      <c r="CA92" s="246">
        <v>70</v>
      </c>
      <c r="CB92" s="247">
        <f t="shared" si="175"/>
        <v>208</v>
      </c>
      <c r="CC92" s="247"/>
      <c r="CD92" s="247">
        <v>15</v>
      </c>
      <c r="CE92" s="247">
        <v>35</v>
      </c>
      <c r="CF92" s="247">
        <f t="shared" si="150"/>
        <v>278</v>
      </c>
      <c r="CG92" s="246">
        <v>50</v>
      </c>
      <c r="CH92" s="247">
        <f t="shared" si="176"/>
        <v>195</v>
      </c>
      <c r="CI92" s="247"/>
      <c r="CJ92" s="247">
        <v>20</v>
      </c>
      <c r="CK92" s="247">
        <v>20</v>
      </c>
      <c r="CL92" s="247">
        <f t="shared" si="151"/>
        <v>245</v>
      </c>
      <c r="CM92" s="246">
        <v>40</v>
      </c>
      <c r="CN92" s="247">
        <f t="shared" si="177"/>
        <v>129</v>
      </c>
      <c r="CO92" s="247"/>
      <c r="CP92" s="247">
        <v>10</v>
      </c>
      <c r="CQ92" s="247">
        <v>20</v>
      </c>
      <c r="CR92" s="247">
        <f t="shared" si="152"/>
        <v>169</v>
      </c>
      <c r="CS92" s="246">
        <v>50</v>
      </c>
      <c r="CT92" s="247">
        <f t="shared" si="178"/>
        <v>235</v>
      </c>
      <c r="CU92" s="247"/>
      <c r="CV92" s="247">
        <v>15</v>
      </c>
      <c r="CW92" s="247">
        <v>15</v>
      </c>
      <c r="CX92" s="247">
        <f t="shared" si="153"/>
        <v>285</v>
      </c>
      <c r="CY92" s="246">
        <v>90</v>
      </c>
      <c r="CZ92" s="247">
        <f t="shared" si="179"/>
        <v>368</v>
      </c>
      <c r="DA92" s="247"/>
      <c r="DB92" s="247">
        <v>30</v>
      </c>
      <c r="DC92" s="247">
        <v>20</v>
      </c>
      <c r="DD92" s="247">
        <f t="shared" si="154"/>
        <v>458</v>
      </c>
      <c r="DE92" s="246">
        <v>160</v>
      </c>
      <c r="DF92" s="247">
        <f t="shared" si="180"/>
        <v>932</v>
      </c>
      <c r="DG92" s="247"/>
      <c r="DH92" s="247">
        <v>30</v>
      </c>
      <c r="DI92" s="247">
        <v>60</v>
      </c>
      <c r="DJ92" s="247">
        <f t="shared" si="155"/>
        <v>1092</v>
      </c>
      <c r="DK92" s="249"/>
      <c r="DL92" s="247">
        <f t="shared" si="171"/>
        <v>0</v>
      </c>
      <c r="DM92" s="247"/>
      <c r="DN92" s="247"/>
      <c r="DO92" s="247"/>
      <c r="DP92" s="372">
        <f t="shared" si="110"/>
        <v>0</v>
      </c>
      <c r="DQ92" s="246">
        <v>80</v>
      </c>
      <c r="DR92" s="247">
        <f t="shared" si="181"/>
        <v>451</v>
      </c>
      <c r="DS92" s="247"/>
      <c r="DT92" s="247">
        <v>35</v>
      </c>
      <c r="DU92" s="247">
        <v>20</v>
      </c>
      <c r="DV92" s="247">
        <f t="shared" si="156"/>
        <v>531</v>
      </c>
      <c r="DW92" s="246">
        <v>160</v>
      </c>
      <c r="DX92" s="247">
        <f t="shared" si="182"/>
        <v>644</v>
      </c>
      <c r="DY92" s="247"/>
      <c r="DZ92" s="247">
        <v>40</v>
      </c>
      <c r="EA92" s="247">
        <v>40</v>
      </c>
      <c r="EB92" s="247">
        <f t="shared" si="157"/>
        <v>804</v>
      </c>
      <c r="EC92" s="246">
        <v>70</v>
      </c>
      <c r="ED92" s="247">
        <f t="shared" si="183"/>
        <v>313</v>
      </c>
      <c r="EE92" s="247"/>
      <c r="EF92" s="247">
        <v>20</v>
      </c>
      <c r="EG92" s="247">
        <v>15</v>
      </c>
      <c r="EH92" s="247">
        <f t="shared" si="158"/>
        <v>383</v>
      </c>
      <c r="EI92" s="249">
        <v>35</v>
      </c>
      <c r="EJ92" s="247">
        <f t="shared" si="184"/>
        <v>152</v>
      </c>
      <c r="EK92" s="247"/>
      <c r="EL92" s="247">
        <v>10</v>
      </c>
      <c r="EM92" s="247">
        <v>15</v>
      </c>
      <c r="EN92" s="247">
        <f t="shared" si="159"/>
        <v>187</v>
      </c>
      <c r="EO92" s="246">
        <v>10</v>
      </c>
      <c r="EP92" s="247">
        <f t="shared" si="185"/>
        <v>-3</v>
      </c>
      <c r="EQ92" s="247">
        <v>0</v>
      </c>
      <c r="ER92" s="247">
        <v>1</v>
      </c>
      <c r="ES92" s="247">
        <v>0</v>
      </c>
      <c r="ET92" s="247">
        <f t="shared" si="160"/>
        <v>7</v>
      </c>
      <c r="EU92" s="249"/>
      <c r="EV92" s="249"/>
      <c r="EW92" s="249"/>
      <c r="EX92" s="249"/>
      <c r="EY92" s="249"/>
      <c r="EZ92" s="249">
        <f t="shared" si="167"/>
        <v>0</v>
      </c>
      <c r="FA92" s="246">
        <f t="shared" si="169"/>
        <v>885</v>
      </c>
      <c r="FB92" s="247">
        <f t="shared" si="172"/>
        <v>4097</v>
      </c>
      <c r="FC92" s="247">
        <f t="shared" si="170"/>
        <v>0</v>
      </c>
      <c r="FD92" s="247">
        <f t="shared" si="168"/>
        <v>246</v>
      </c>
      <c r="FE92" s="247">
        <f t="shared" si="163"/>
        <v>285</v>
      </c>
      <c r="FF92" s="247">
        <f t="shared" si="186"/>
        <v>4982</v>
      </c>
      <c r="FG92" s="104" t="s">
        <v>157</v>
      </c>
      <c r="FH92" s="250" t="s">
        <v>145</v>
      </c>
      <c r="FI92" s="235"/>
      <c r="FJ92" s="235"/>
    </row>
    <row r="93" spans="1:166" x14ac:dyDescent="0.2">
      <c r="A93" s="250" t="s">
        <v>139</v>
      </c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249"/>
      <c r="W93" s="247"/>
      <c r="X93" s="247"/>
      <c r="Y93" s="247"/>
      <c r="Z93" s="248"/>
      <c r="AA93" s="249"/>
      <c r="AB93" s="247"/>
      <c r="AC93" s="247"/>
      <c r="AD93" s="247"/>
      <c r="AE93" s="309"/>
      <c r="AF93" s="246"/>
      <c r="AG93" s="247"/>
      <c r="AH93" s="247"/>
      <c r="AI93" s="247"/>
      <c r="AJ93" s="248"/>
      <c r="AK93" s="249"/>
      <c r="AL93" s="247"/>
      <c r="AM93" s="247"/>
      <c r="AN93" s="247"/>
      <c r="AO93" s="309"/>
      <c r="AP93" s="246"/>
      <c r="AQ93" s="247"/>
      <c r="AR93" s="247"/>
      <c r="AS93" s="247"/>
      <c r="AT93" s="248"/>
      <c r="AU93" s="249"/>
      <c r="AV93" s="247"/>
      <c r="AW93" s="247"/>
      <c r="AX93" s="247"/>
      <c r="AY93" s="309"/>
      <c r="AZ93" s="246"/>
      <c r="BA93" s="247"/>
      <c r="BB93" s="247"/>
      <c r="BC93" s="247"/>
      <c r="BD93" s="248"/>
      <c r="BE93" s="249"/>
      <c r="BF93" s="247"/>
      <c r="BG93" s="247"/>
      <c r="BH93" s="247"/>
      <c r="BI93" s="309"/>
      <c r="BJ93" s="246"/>
      <c r="BK93" s="247"/>
      <c r="BL93" s="247"/>
      <c r="BM93" s="247"/>
      <c r="BN93" s="248"/>
      <c r="BO93" s="246">
        <v>20</v>
      </c>
      <c r="BP93" s="247">
        <f t="shared" si="173"/>
        <v>238</v>
      </c>
      <c r="BQ93" s="247"/>
      <c r="BR93" s="247">
        <v>15</v>
      </c>
      <c r="BS93" s="247">
        <v>10</v>
      </c>
      <c r="BT93" s="247">
        <f t="shared" si="148"/>
        <v>258</v>
      </c>
      <c r="BU93" s="246">
        <v>15</v>
      </c>
      <c r="BV93" s="247">
        <f t="shared" si="174"/>
        <v>250</v>
      </c>
      <c r="BW93" s="247"/>
      <c r="BX93" s="247">
        <v>15</v>
      </c>
      <c r="BY93" s="247">
        <v>10</v>
      </c>
      <c r="BZ93" s="247">
        <f t="shared" si="149"/>
        <v>265</v>
      </c>
      <c r="CA93" s="246">
        <v>35</v>
      </c>
      <c r="CB93" s="247">
        <f t="shared" si="175"/>
        <v>218</v>
      </c>
      <c r="CC93" s="247"/>
      <c r="CD93" s="247">
        <v>25</v>
      </c>
      <c r="CE93" s="247">
        <v>35</v>
      </c>
      <c r="CF93" s="247">
        <f t="shared" si="150"/>
        <v>253</v>
      </c>
      <c r="CG93" s="246">
        <v>20</v>
      </c>
      <c r="CH93" s="247">
        <f t="shared" si="176"/>
        <v>205</v>
      </c>
      <c r="CI93" s="247"/>
      <c r="CJ93" s="247">
        <v>20</v>
      </c>
      <c r="CK93" s="247">
        <v>15</v>
      </c>
      <c r="CL93" s="247">
        <f t="shared" si="151"/>
        <v>225</v>
      </c>
      <c r="CM93" s="249">
        <v>20</v>
      </c>
      <c r="CN93" s="247">
        <f t="shared" si="177"/>
        <v>139</v>
      </c>
      <c r="CO93" s="247"/>
      <c r="CP93" s="247">
        <v>10</v>
      </c>
      <c r="CQ93" s="247">
        <v>20</v>
      </c>
      <c r="CR93" s="247">
        <f t="shared" si="152"/>
        <v>159</v>
      </c>
      <c r="CS93" s="246">
        <v>15</v>
      </c>
      <c r="CT93" s="247">
        <f t="shared" si="178"/>
        <v>255</v>
      </c>
      <c r="CU93" s="247"/>
      <c r="CV93" s="247">
        <v>15</v>
      </c>
      <c r="CW93" s="247">
        <v>10</v>
      </c>
      <c r="CX93" s="247">
        <f t="shared" si="153"/>
        <v>270</v>
      </c>
      <c r="CY93" s="246">
        <v>25</v>
      </c>
      <c r="CZ93" s="247">
        <f t="shared" si="179"/>
        <v>408</v>
      </c>
      <c r="DA93" s="247"/>
      <c r="DB93" s="247">
        <v>30</v>
      </c>
      <c r="DC93" s="247">
        <v>20</v>
      </c>
      <c r="DD93" s="247">
        <f t="shared" si="154"/>
        <v>433</v>
      </c>
      <c r="DE93" s="246">
        <v>80</v>
      </c>
      <c r="DF93" s="247">
        <f t="shared" si="180"/>
        <v>997</v>
      </c>
      <c r="DG93" s="247"/>
      <c r="DH93" s="247">
        <v>35</v>
      </c>
      <c r="DI93" s="247">
        <v>60</v>
      </c>
      <c r="DJ93" s="247">
        <f t="shared" si="155"/>
        <v>1077</v>
      </c>
      <c r="DK93" s="249"/>
      <c r="DL93" s="247">
        <f t="shared" si="171"/>
        <v>0</v>
      </c>
      <c r="DM93" s="247"/>
      <c r="DN93" s="247"/>
      <c r="DO93" s="247"/>
      <c r="DP93" s="372">
        <f t="shared" si="110"/>
        <v>0</v>
      </c>
      <c r="DQ93" s="246">
        <v>20</v>
      </c>
      <c r="DR93" s="247">
        <f t="shared" si="181"/>
        <v>481</v>
      </c>
      <c r="DS93" s="247"/>
      <c r="DT93" s="247">
        <v>30</v>
      </c>
      <c r="DU93" s="247">
        <v>15</v>
      </c>
      <c r="DV93" s="247">
        <f t="shared" si="156"/>
        <v>501</v>
      </c>
      <c r="DW93" s="246">
        <v>40</v>
      </c>
      <c r="DX93" s="247">
        <f t="shared" si="182"/>
        <v>724</v>
      </c>
      <c r="DY93" s="247"/>
      <c r="DZ93" s="247">
        <v>40</v>
      </c>
      <c r="EA93" s="247">
        <v>30</v>
      </c>
      <c r="EB93" s="247">
        <f t="shared" si="157"/>
        <v>764</v>
      </c>
      <c r="EC93" s="246">
        <v>20</v>
      </c>
      <c r="ED93" s="247">
        <f t="shared" si="183"/>
        <v>348</v>
      </c>
      <c r="EE93" s="247"/>
      <c r="EF93" s="247">
        <v>20</v>
      </c>
      <c r="EG93" s="247">
        <v>15</v>
      </c>
      <c r="EH93" s="247">
        <f t="shared" si="158"/>
        <v>368</v>
      </c>
      <c r="EI93" s="249">
        <v>40</v>
      </c>
      <c r="EJ93" s="247">
        <f t="shared" si="184"/>
        <v>162</v>
      </c>
      <c r="EK93" s="247"/>
      <c r="EL93" s="247">
        <v>10</v>
      </c>
      <c r="EM93" s="247">
        <v>15</v>
      </c>
      <c r="EN93" s="247">
        <f t="shared" si="159"/>
        <v>202</v>
      </c>
      <c r="EO93" s="246">
        <v>0</v>
      </c>
      <c r="EP93" s="247">
        <f t="shared" si="185"/>
        <v>6</v>
      </c>
      <c r="EQ93" s="247">
        <v>0</v>
      </c>
      <c r="ER93" s="247">
        <v>1</v>
      </c>
      <c r="ES93" s="247">
        <v>8</v>
      </c>
      <c r="ET93" s="247">
        <f t="shared" si="160"/>
        <v>6</v>
      </c>
      <c r="EU93" s="249"/>
      <c r="EV93" s="249"/>
      <c r="EW93" s="249"/>
      <c r="EX93" s="249"/>
      <c r="EY93" s="249"/>
      <c r="EZ93" s="249">
        <f t="shared" si="167"/>
        <v>0</v>
      </c>
      <c r="FA93" s="246">
        <f t="shared" si="169"/>
        <v>350</v>
      </c>
      <c r="FB93" s="247">
        <f t="shared" si="172"/>
        <v>4431</v>
      </c>
      <c r="FC93" s="247">
        <f t="shared" si="170"/>
        <v>0</v>
      </c>
      <c r="FD93" s="247">
        <f t="shared" si="168"/>
        <v>266</v>
      </c>
      <c r="FE93" s="247">
        <f t="shared" si="163"/>
        <v>263</v>
      </c>
      <c r="FF93" s="247">
        <f t="shared" si="186"/>
        <v>4781</v>
      </c>
      <c r="FG93" s="104" t="s">
        <v>158</v>
      </c>
      <c r="FH93" s="250" t="s">
        <v>139</v>
      </c>
      <c r="FI93" s="235"/>
      <c r="FJ93" s="235"/>
    </row>
    <row r="94" spans="1:166" x14ac:dyDescent="0.2">
      <c r="A94" s="250" t="s">
        <v>146</v>
      </c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249"/>
      <c r="W94" s="247"/>
      <c r="X94" s="247"/>
      <c r="Y94" s="247"/>
      <c r="Z94" s="248"/>
      <c r="AA94" s="249"/>
      <c r="AB94" s="247"/>
      <c r="AC94" s="247"/>
      <c r="AD94" s="247"/>
      <c r="AE94" s="309"/>
      <c r="AF94" s="246"/>
      <c r="AG94" s="247"/>
      <c r="AH94" s="247"/>
      <c r="AI94" s="247"/>
      <c r="AJ94" s="248"/>
      <c r="AK94" s="249"/>
      <c r="AL94" s="247"/>
      <c r="AM94" s="247"/>
      <c r="AN94" s="247"/>
      <c r="AO94" s="309"/>
      <c r="AP94" s="246"/>
      <c r="AQ94" s="247"/>
      <c r="AR94" s="247"/>
      <c r="AS94" s="247"/>
      <c r="AT94" s="248"/>
      <c r="AU94" s="249"/>
      <c r="AV94" s="247"/>
      <c r="AW94" s="247"/>
      <c r="AX94" s="247"/>
      <c r="AY94" s="309"/>
      <c r="AZ94" s="246"/>
      <c r="BA94" s="247"/>
      <c r="BB94" s="247"/>
      <c r="BC94" s="247"/>
      <c r="BD94" s="248"/>
      <c r="BE94" s="249"/>
      <c r="BF94" s="247"/>
      <c r="BG94" s="247"/>
      <c r="BH94" s="247"/>
      <c r="BI94" s="309"/>
      <c r="BJ94" s="246"/>
      <c r="BK94" s="247"/>
      <c r="BL94" s="247"/>
      <c r="BM94" s="247"/>
      <c r="BN94" s="248"/>
      <c r="BO94" s="246">
        <v>35</v>
      </c>
      <c r="BP94" s="247">
        <f t="shared" si="173"/>
        <v>233</v>
      </c>
      <c r="BQ94" s="247"/>
      <c r="BR94" s="247">
        <v>15</v>
      </c>
      <c r="BS94" s="247">
        <v>15</v>
      </c>
      <c r="BT94" s="247">
        <f t="shared" si="148"/>
        <v>268</v>
      </c>
      <c r="BU94" s="246">
        <v>35</v>
      </c>
      <c r="BV94" s="247">
        <f t="shared" si="174"/>
        <v>250</v>
      </c>
      <c r="BW94" s="247"/>
      <c r="BX94" s="247">
        <v>5</v>
      </c>
      <c r="BY94" s="247">
        <v>10</v>
      </c>
      <c r="BZ94" s="247">
        <f t="shared" si="149"/>
        <v>285</v>
      </c>
      <c r="CA94" s="246">
        <v>70</v>
      </c>
      <c r="CB94" s="247">
        <f t="shared" si="175"/>
        <v>203</v>
      </c>
      <c r="CC94" s="247"/>
      <c r="CD94" s="247">
        <v>15</v>
      </c>
      <c r="CE94" s="247">
        <v>35</v>
      </c>
      <c r="CF94" s="247">
        <f t="shared" si="150"/>
        <v>273</v>
      </c>
      <c r="CG94" s="246">
        <v>50</v>
      </c>
      <c r="CH94" s="247">
        <f t="shared" si="176"/>
        <v>190</v>
      </c>
      <c r="CI94" s="247"/>
      <c r="CJ94" s="247">
        <v>20</v>
      </c>
      <c r="CK94" s="247">
        <v>20</v>
      </c>
      <c r="CL94" s="247">
        <f t="shared" si="151"/>
        <v>240</v>
      </c>
      <c r="CM94" s="246">
        <v>40</v>
      </c>
      <c r="CN94" s="247">
        <f t="shared" si="177"/>
        <v>129</v>
      </c>
      <c r="CO94" s="247"/>
      <c r="CP94" s="247">
        <v>10</v>
      </c>
      <c r="CQ94" s="247">
        <v>20</v>
      </c>
      <c r="CR94" s="247">
        <f t="shared" si="152"/>
        <v>169</v>
      </c>
      <c r="CS94" s="246">
        <v>50</v>
      </c>
      <c r="CT94" s="247">
        <f t="shared" si="178"/>
        <v>245</v>
      </c>
      <c r="CU94" s="247"/>
      <c r="CV94" s="247">
        <v>15</v>
      </c>
      <c r="CW94" s="247">
        <v>15</v>
      </c>
      <c r="CX94" s="247">
        <f t="shared" si="153"/>
        <v>295</v>
      </c>
      <c r="CY94" s="246">
        <v>90</v>
      </c>
      <c r="CZ94" s="247">
        <f t="shared" si="179"/>
        <v>383</v>
      </c>
      <c r="DA94" s="247"/>
      <c r="DB94" s="247">
        <v>30</v>
      </c>
      <c r="DC94" s="247">
        <v>20</v>
      </c>
      <c r="DD94" s="247">
        <f t="shared" si="154"/>
        <v>473</v>
      </c>
      <c r="DE94" s="246">
        <v>160</v>
      </c>
      <c r="DF94" s="247">
        <f t="shared" si="180"/>
        <v>987</v>
      </c>
      <c r="DG94" s="247"/>
      <c r="DH94" s="247">
        <v>30</v>
      </c>
      <c r="DI94" s="247">
        <v>60</v>
      </c>
      <c r="DJ94" s="247">
        <f t="shared" si="155"/>
        <v>1147</v>
      </c>
      <c r="DK94" s="249"/>
      <c r="DL94" s="247">
        <f t="shared" si="171"/>
        <v>0</v>
      </c>
      <c r="DM94" s="247"/>
      <c r="DN94" s="247"/>
      <c r="DO94" s="247"/>
      <c r="DP94" s="372">
        <f t="shared" si="110"/>
        <v>0</v>
      </c>
      <c r="DQ94" s="246">
        <v>80</v>
      </c>
      <c r="DR94" s="247">
        <f t="shared" si="181"/>
        <v>451</v>
      </c>
      <c r="DS94" s="247"/>
      <c r="DT94" s="247">
        <v>35</v>
      </c>
      <c r="DU94" s="247">
        <v>20</v>
      </c>
      <c r="DV94" s="247">
        <f t="shared" si="156"/>
        <v>531</v>
      </c>
      <c r="DW94" s="246">
        <v>160</v>
      </c>
      <c r="DX94" s="247">
        <f t="shared" si="182"/>
        <v>694</v>
      </c>
      <c r="DY94" s="247"/>
      <c r="DZ94" s="247">
        <v>40</v>
      </c>
      <c r="EA94" s="247">
        <v>40</v>
      </c>
      <c r="EB94" s="247">
        <f t="shared" si="157"/>
        <v>854</v>
      </c>
      <c r="EC94" s="246">
        <v>70</v>
      </c>
      <c r="ED94" s="247">
        <f t="shared" si="183"/>
        <v>333</v>
      </c>
      <c r="EE94" s="247"/>
      <c r="EF94" s="247">
        <v>20</v>
      </c>
      <c r="EG94" s="247">
        <v>15</v>
      </c>
      <c r="EH94" s="247">
        <f t="shared" si="158"/>
        <v>403</v>
      </c>
      <c r="EI94" s="246">
        <v>35</v>
      </c>
      <c r="EJ94" s="247">
        <f t="shared" si="184"/>
        <v>177</v>
      </c>
      <c r="EK94" s="247"/>
      <c r="EL94" s="247">
        <v>10</v>
      </c>
      <c r="EM94" s="247">
        <v>15</v>
      </c>
      <c r="EN94" s="247">
        <f t="shared" si="159"/>
        <v>212</v>
      </c>
      <c r="EO94" s="246">
        <v>10</v>
      </c>
      <c r="EP94" s="247">
        <f t="shared" si="185"/>
        <v>-3</v>
      </c>
      <c r="EQ94" s="247">
        <v>0</v>
      </c>
      <c r="ER94" s="247">
        <v>1</v>
      </c>
      <c r="ES94" s="247">
        <v>0</v>
      </c>
      <c r="ET94" s="247">
        <f t="shared" si="160"/>
        <v>7</v>
      </c>
      <c r="EU94" s="249"/>
      <c r="EV94" s="249"/>
      <c r="EW94" s="249"/>
      <c r="EX94" s="249"/>
      <c r="EY94" s="249"/>
      <c r="EZ94" s="249">
        <f t="shared" si="167"/>
        <v>0</v>
      </c>
      <c r="FA94" s="246">
        <f t="shared" si="169"/>
        <v>885</v>
      </c>
      <c r="FB94" s="247">
        <f t="shared" si="172"/>
        <v>4272</v>
      </c>
      <c r="FC94" s="247">
        <f t="shared" si="170"/>
        <v>0</v>
      </c>
      <c r="FD94" s="247">
        <f t="shared" si="168"/>
        <v>246</v>
      </c>
      <c r="FE94" s="247">
        <f t="shared" si="163"/>
        <v>285</v>
      </c>
      <c r="FF94" s="247">
        <f t="shared" si="186"/>
        <v>5157</v>
      </c>
      <c r="FG94" s="104" t="s">
        <v>159</v>
      </c>
      <c r="FH94" s="250" t="s">
        <v>146</v>
      </c>
      <c r="FI94" s="235"/>
      <c r="FJ94" s="235"/>
    </row>
    <row r="95" spans="1:166" x14ac:dyDescent="0.2">
      <c r="A95" s="250" t="s">
        <v>140</v>
      </c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249"/>
      <c r="W95" s="247"/>
      <c r="X95" s="247"/>
      <c r="Y95" s="247"/>
      <c r="Z95" s="248"/>
      <c r="AA95" s="249"/>
      <c r="AB95" s="247"/>
      <c r="AC95" s="247"/>
      <c r="AD95" s="247"/>
      <c r="AE95" s="309"/>
      <c r="AF95" s="246"/>
      <c r="AG95" s="247"/>
      <c r="AH95" s="247"/>
      <c r="AI95" s="247"/>
      <c r="AJ95" s="248"/>
      <c r="AK95" s="249"/>
      <c r="AL95" s="247"/>
      <c r="AM95" s="247"/>
      <c r="AN95" s="247"/>
      <c r="AO95" s="309"/>
      <c r="AP95" s="246"/>
      <c r="AQ95" s="247"/>
      <c r="AR95" s="247"/>
      <c r="AS95" s="247"/>
      <c r="AT95" s="248"/>
      <c r="AU95" s="249"/>
      <c r="AV95" s="247"/>
      <c r="AW95" s="247"/>
      <c r="AX95" s="247"/>
      <c r="AY95" s="309"/>
      <c r="AZ95" s="246"/>
      <c r="BA95" s="247"/>
      <c r="BB95" s="247"/>
      <c r="BC95" s="247"/>
      <c r="BD95" s="248"/>
      <c r="BE95" s="249"/>
      <c r="BF95" s="247"/>
      <c r="BG95" s="247"/>
      <c r="BH95" s="247"/>
      <c r="BI95" s="309"/>
      <c r="BJ95" s="246"/>
      <c r="BK95" s="247"/>
      <c r="BL95" s="247"/>
      <c r="BM95" s="247"/>
      <c r="BN95" s="248"/>
      <c r="BO95" s="246">
        <v>20</v>
      </c>
      <c r="BP95" s="247">
        <f t="shared" si="173"/>
        <v>238</v>
      </c>
      <c r="BQ95" s="247"/>
      <c r="BR95" s="247">
        <v>15</v>
      </c>
      <c r="BS95" s="247">
        <v>10</v>
      </c>
      <c r="BT95" s="247">
        <f t="shared" si="148"/>
        <v>258</v>
      </c>
      <c r="BU95" s="246">
        <v>15</v>
      </c>
      <c r="BV95" s="247">
        <f t="shared" si="174"/>
        <v>260</v>
      </c>
      <c r="BW95" s="247"/>
      <c r="BX95" s="247">
        <v>15</v>
      </c>
      <c r="BY95" s="247">
        <v>10</v>
      </c>
      <c r="BZ95" s="247">
        <f t="shared" si="149"/>
        <v>275</v>
      </c>
      <c r="CA95" s="246">
        <v>35</v>
      </c>
      <c r="CB95" s="247">
        <f t="shared" si="175"/>
        <v>213</v>
      </c>
      <c r="CC95" s="247"/>
      <c r="CD95" s="247">
        <v>25</v>
      </c>
      <c r="CE95" s="247">
        <v>35</v>
      </c>
      <c r="CF95" s="247">
        <f t="shared" si="150"/>
        <v>248</v>
      </c>
      <c r="CG95" s="246">
        <v>20</v>
      </c>
      <c r="CH95" s="247">
        <f t="shared" si="176"/>
        <v>200</v>
      </c>
      <c r="CI95" s="247"/>
      <c r="CJ95" s="247">
        <v>20</v>
      </c>
      <c r="CK95" s="247">
        <v>15</v>
      </c>
      <c r="CL95" s="247">
        <f t="shared" si="151"/>
        <v>220</v>
      </c>
      <c r="CM95" s="249">
        <v>20</v>
      </c>
      <c r="CN95" s="247">
        <f t="shared" si="177"/>
        <v>139</v>
      </c>
      <c r="CO95" s="247"/>
      <c r="CP95" s="247">
        <v>10</v>
      </c>
      <c r="CQ95" s="247">
        <v>20</v>
      </c>
      <c r="CR95" s="247">
        <f t="shared" si="152"/>
        <v>159</v>
      </c>
      <c r="CS95" s="246">
        <v>15</v>
      </c>
      <c r="CT95" s="247">
        <f t="shared" si="178"/>
        <v>265</v>
      </c>
      <c r="CU95" s="247"/>
      <c r="CV95" s="247">
        <v>15</v>
      </c>
      <c r="CW95" s="247">
        <v>10</v>
      </c>
      <c r="CX95" s="247">
        <f t="shared" si="153"/>
        <v>280</v>
      </c>
      <c r="CY95" s="246">
        <v>25</v>
      </c>
      <c r="CZ95" s="247">
        <f t="shared" si="179"/>
        <v>423</v>
      </c>
      <c r="DA95" s="247"/>
      <c r="DB95" s="247">
        <v>30</v>
      </c>
      <c r="DC95" s="247">
        <v>20</v>
      </c>
      <c r="DD95" s="247">
        <f t="shared" si="154"/>
        <v>448</v>
      </c>
      <c r="DE95" s="246">
        <v>80</v>
      </c>
      <c r="DF95" s="247">
        <f t="shared" si="180"/>
        <v>1052</v>
      </c>
      <c r="DG95" s="247"/>
      <c r="DH95" s="247">
        <v>35</v>
      </c>
      <c r="DI95" s="247">
        <v>60</v>
      </c>
      <c r="DJ95" s="247">
        <f t="shared" si="155"/>
        <v>1132</v>
      </c>
      <c r="DK95" s="249"/>
      <c r="DL95" s="247">
        <f t="shared" si="171"/>
        <v>0</v>
      </c>
      <c r="DM95" s="247"/>
      <c r="DN95" s="247"/>
      <c r="DO95" s="247"/>
      <c r="DP95" s="372">
        <f t="shared" si="110"/>
        <v>0</v>
      </c>
      <c r="DQ95" s="246">
        <v>20</v>
      </c>
      <c r="DR95" s="247">
        <f t="shared" si="181"/>
        <v>481</v>
      </c>
      <c r="DS95" s="247"/>
      <c r="DT95" s="247">
        <v>30</v>
      </c>
      <c r="DU95" s="247">
        <v>15</v>
      </c>
      <c r="DV95" s="247">
        <f t="shared" si="156"/>
        <v>501</v>
      </c>
      <c r="DW95" s="246">
        <v>40</v>
      </c>
      <c r="DX95" s="247">
        <f t="shared" si="182"/>
        <v>774</v>
      </c>
      <c r="DY95" s="247"/>
      <c r="DZ95" s="247">
        <v>40</v>
      </c>
      <c r="EA95" s="247">
        <v>30</v>
      </c>
      <c r="EB95" s="247">
        <f t="shared" si="157"/>
        <v>814</v>
      </c>
      <c r="EC95" s="246">
        <v>20</v>
      </c>
      <c r="ED95" s="247">
        <f t="shared" si="183"/>
        <v>368</v>
      </c>
      <c r="EE95" s="247"/>
      <c r="EF95" s="247">
        <v>20</v>
      </c>
      <c r="EG95" s="247">
        <v>15</v>
      </c>
      <c r="EH95" s="247">
        <f t="shared" si="158"/>
        <v>388</v>
      </c>
      <c r="EI95" s="249">
        <v>40</v>
      </c>
      <c r="EJ95" s="247">
        <f t="shared" si="184"/>
        <v>187</v>
      </c>
      <c r="EK95" s="247"/>
      <c r="EL95" s="247">
        <v>10</v>
      </c>
      <c r="EM95" s="247">
        <v>15</v>
      </c>
      <c r="EN95" s="247">
        <f t="shared" si="159"/>
        <v>227</v>
      </c>
      <c r="EO95" s="246">
        <v>0</v>
      </c>
      <c r="EP95" s="247">
        <f t="shared" si="185"/>
        <v>6</v>
      </c>
      <c r="EQ95" s="247">
        <v>0</v>
      </c>
      <c r="ER95" s="247">
        <v>1</v>
      </c>
      <c r="ES95" s="247">
        <v>5</v>
      </c>
      <c r="ET95" s="247">
        <f t="shared" si="160"/>
        <v>6</v>
      </c>
      <c r="EU95" s="249"/>
      <c r="EV95" s="249"/>
      <c r="EW95" s="249"/>
      <c r="EX95" s="249"/>
      <c r="EY95" s="249"/>
      <c r="EZ95" s="249">
        <f t="shared" si="167"/>
        <v>0</v>
      </c>
      <c r="FA95" s="246">
        <f t="shared" si="169"/>
        <v>350</v>
      </c>
      <c r="FB95" s="247">
        <f t="shared" si="172"/>
        <v>4606</v>
      </c>
      <c r="FC95" s="247">
        <f t="shared" si="170"/>
        <v>0</v>
      </c>
      <c r="FD95" s="247">
        <f t="shared" si="168"/>
        <v>266</v>
      </c>
      <c r="FE95" s="247">
        <f t="shared" si="163"/>
        <v>260</v>
      </c>
      <c r="FF95" s="247">
        <f t="shared" si="186"/>
        <v>4956</v>
      </c>
      <c r="FG95" s="104" t="s">
        <v>160</v>
      </c>
      <c r="FH95" s="250" t="s">
        <v>140</v>
      </c>
      <c r="FI95" s="235"/>
      <c r="FJ95" s="235"/>
    </row>
    <row r="96" spans="1:166" ht="13.5" thickBot="1" x14ac:dyDescent="0.25">
      <c r="A96" s="250" t="s">
        <v>147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249"/>
      <c r="W96" s="247"/>
      <c r="X96" s="247"/>
      <c r="Y96" s="247"/>
      <c r="Z96" s="248"/>
      <c r="AA96" s="249"/>
      <c r="AB96" s="247"/>
      <c r="AC96" s="247"/>
      <c r="AD96" s="247"/>
      <c r="AE96" s="309"/>
      <c r="AF96" s="246"/>
      <c r="AG96" s="247"/>
      <c r="AH96" s="247"/>
      <c r="AI96" s="247"/>
      <c r="AJ96" s="248"/>
      <c r="AK96" s="249"/>
      <c r="AL96" s="247"/>
      <c r="AM96" s="247"/>
      <c r="AN96" s="247"/>
      <c r="AO96" s="309"/>
      <c r="AP96" s="312"/>
      <c r="AQ96" s="313"/>
      <c r="AR96" s="313"/>
      <c r="AS96" s="313"/>
      <c r="AT96" s="314"/>
      <c r="AU96" s="249"/>
      <c r="AV96" s="247"/>
      <c r="AW96" s="247"/>
      <c r="AX96" s="247"/>
      <c r="AY96" s="309"/>
      <c r="AZ96" s="246"/>
      <c r="BA96" s="247"/>
      <c r="BB96" s="247"/>
      <c r="BC96" s="247"/>
      <c r="BD96" s="248"/>
      <c r="BE96" s="249"/>
      <c r="BF96" s="247"/>
      <c r="BG96" s="247"/>
      <c r="BH96" s="247"/>
      <c r="BI96" s="309"/>
      <c r="BJ96" s="246"/>
      <c r="BK96" s="247"/>
      <c r="BL96" s="247"/>
      <c r="BM96" s="247"/>
      <c r="BN96" s="248"/>
      <c r="BO96" s="246">
        <v>35</v>
      </c>
      <c r="BP96" s="247">
        <f t="shared" si="173"/>
        <v>233</v>
      </c>
      <c r="BQ96" s="247"/>
      <c r="BR96" s="247">
        <v>15</v>
      </c>
      <c r="BS96" s="247">
        <v>15</v>
      </c>
      <c r="BT96" s="247">
        <f t="shared" si="148"/>
        <v>268</v>
      </c>
      <c r="BU96" s="246">
        <v>35</v>
      </c>
      <c r="BV96" s="247">
        <f t="shared" si="174"/>
        <v>260</v>
      </c>
      <c r="BW96" s="356"/>
      <c r="BX96" s="313">
        <v>5</v>
      </c>
      <c r="BY96" s="247">
        <v>10</v>
      </c>
      <c r="BZ96" s="247">
        <f t="shared" si="149"/>
        <v>295</v>
      </c>
      <c r="CA96" s="246">
        <v>70</v>
      </c>
      <c r="CB96" s="247">
        <f t="shared" si="175"/>
        <v>198</v>
      </c>
      <c r="CC96" s="247"/>
      <c r="CD96" s="247">
        <v>15</v>
      </c>
      <c r="CE96" s="247">
        <v>35</v>
      </c>
      <c r="CF96" s="247">
        <f t="shared" si="150"/>
        <v>268</v>
      </c>
      <c r="CG96" s="246">
        <v>50</v>
      </c>
      <c r="CH96" s="247">
        <f t="shared" si="176"/>
        <v>185</v>
      </c>
      <c r="CI96" s="247"/>
      <c r="CJ96" s="247">
        <v>20</v>
      </c>
      <c r="CK96" s="247">
        <v>20</v>
      </c>
      <c r="CL96" s="247">
        <f t="shared" si="151"/>
        <v>235</v>
      </c>
      <c r="CM96" s="246">
        <v>40</v>
      </c>
      <c r="CN96" s="247">
        <f t="shared" si="177"/>
        <v>129</v>
      </c>
      <c r="CO96" s="247"/>
      <c r="CP96" s="247">
        <v>10</v>
      </c>
      <c r="CQ96" s="247">
        <v>20</v>
      </c>
      <c r="CR96" s="247">
        <f t="shared" si="152"/>
        <v>169</v>
      </c>
      <c r="CS96" s="246">
        <v>50</v>
      </c>
      <c r="CT96" s="247">
        <f t="shared" si="178"/>
        <v>255</v>
      </c>
      <c r="CU96" s="247"/>
      <c r="CV96" s="247">
        <v>15</v>
      </c>
      <c r="CW96" s="247">
        <v>15</v>
      </c>
      <c r="CX96" s="247">
        <f t="shared" si="153"/>
        <v>305</v>
      </c>
      <c r="CY96" s="246">
        <v>90</v>
      </c>
      <c r="CZ96" s="247">
        <f t="shared" si="179"/>
        <v>398</v>
      </c>
      <c r="DA96" s="247"/>
      <c r="DB96" s="247">
        <v>30</v>
      </c>
      <c r="DC96" s="247">
        <v>20</v>
      </c>
      <c r="DD96" s="247">
        <f t="shared" si="154"/>
        <v>488</v>
      </c>
      <c r="DE96" s="246">
        <v>160</v>
      </c>
      <c r="DF96" s="247">
        <f t="shared" si="180"/>
        <v>1042</v>
      </c>
      <c r="DG96" s="247"/>
      <c r="DH96" s="247">
        <v>30</v>
      </c>
      <c r="DI96" s="247">
        <v>60</v>
      </c>
      <c r="DJ96" s="247">
        <f t="shared" si="155"/>
        <v>1202</v>
      </c>
      <c r="DK96" s="249"/>
      <c r="DL96" s="247">
        <f t="shared" si="171"/>
        <v>0</v>
      </c>
      <c r="DM96" s="247"/>
      <c r="DN96" s="247"/>
      <c r="DO96" s="247"/>
      <c r="DP96" s="372">
        <f t="shared" si="110"/>
        <v>0</v>
      </c>
      <c r="DQ96" s="246">
        <v>80</v>
      </c>
      <c r="DR96" s="247">
        <f t="shared" si="181"/>
        <v>451</v>
      </c>
      <c r="DS96" s="247"/>
      <c r="DT96" s="247">
        <v>35</v>
      </c>
      <c r="DU96" s="247">
        <v>20</v>
      </c>
      <c r="DV96" s="247">
        <f t="shared" si="156"/>
        <v>531</v>
      </c>
      <c r="DW96" s="246">
        <v>160</v>
      </c>
      <c r="DX96" s="247">
        <f t="shared" si="182"/>
        <v>744</v>
      </c>
      <c r="DY96" s="247"/>
      <c r="DZ96" s="247">
        <v>40</v>
      </c>
      <c r="EA96" s="247">
        <v>40</v>
      </c>
      <c r="EB96" s="247">
        <f t="shared" si="157"/>
        <v>904</v>
      </c>
      <c r="EC96" s="246">
        <v>70</v>
      </c>
      <c r="ED96" s="247">
        <f t="shared" si="183"/>
        <v>353</v>
      </c>
      <c r="EE96" s="247"/>
      <c r="EF96" s="247">
        <v>20</v>
      </c>
      <c r="EG96" s="247">
        <v>15</v>
      </c>
      <c r="EH96" s="247">
        <f t="shared" si="158"/>
        <v>423</v>
      </c>
      <c r="EI96" s="249">
        <v>35</v>
      </c>
      <c r="EJ96" s="247">
        <f t="shared" si="184"/>
        <v>202</v>
      </c>
      <c r="EK96" s="247"/>
      <c r="EL96" s="247">
        <v>10</v>
      </c>
      <c r="EM96" s="247">
        <v>15</v>
      </c>
      <c r="EN96" s="247">
        <f t="shared" si="159"/>
        <v>237</v>
      </c>
      <c r="EO96" s="246">
        <v>10</v>
      </c>
      <c r="EP96" s="247">
        <f t="shared" si="185"/>
        <v>0</v>
      </c>
      <c r="EQ96" s="247">
        <v>0</v>
      </c>
      <c r="ER96" s="247">
        <v>1</v>
      </c>
      <c r="ES96" s="247">
        <v>3</v>
      </c>
      <c r="ET96" s="247">
        <f t="shared" si="160"/>
        <v>10</v>
      </c>
      <c r="EU96" s="249"/>
      <c r="EV96" s="249"/>
      <c r="EW96" s="249"/>
      <c r="EX96" s="249"/>
      <c r="EY96" s="249"/>
      <c r="EZ96" s="249">
        <f t="shared" si="167"/>
        <v>0</v>
      </c>
      <c r="FA96" s="246">
        <f t="shared" si="169"/>
        <v>885</v>
      </c>
      <c r="FB96" s="247">
        <f t="shared" si="172"/>
        <v>4450</v>
      </c>
      <c r="FC96" s="247">
        <f t="shared" si="170"/>
        <v>0</v>
      </c>
      <c r="FD96" s="247">
        <f t="shared" si="168"/>
        <v>246</v>
      </c>
      <c r="FE96" s="247">
        <f t="shared" si="163"/>
        <v>288</v>
      </c>
      <c r="FF96" s="247">
        <f t="shared" si="186"/>
        <v>5335</v>
      </c>
      <c r="FG96" s="104" t="s">
        <v>161</v>
      </c>
      <c r="FH96" s="250" t="s">
        <v>147</v>
      </c>
      <c r="FI96" s="235"/>
      <c r="FJ96" s="235"/>
    </row>
    <row r="97" spans="1:172" s="236" customFormat="1" ht="12.75" customHeight="1" x14ac:dyDescent="0.2">
      <c r="A97" s="233" t="s">
        <v>91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3"/>
      <c r="W97" s="234">
        <f>X71/(Z70-Y70)</f>
        <v>2.6315789473684209E-2</v>
      </c>
      <c r="X97" s="251"/>
      <c r="Y97" s="23"/>
      <c r="Z97" s="23"/>
      <c r="AA97" s="23"/>
      <c r="AB97" s="234">
        <f>AC71/(AE70-AD70)</f>
        <v>-6.8965517241379309E-2</v>
      </c>
      <c r="AC97" s="23"/>
      <c r="AD97" s="23"/>
      <c r="AE97" s="23"/>
      <c r="AF97" s="23"/>
      <c r="AG97" s="234">
        <f>AH71/(AJ70-AI70)</f>
        <v>3.0674846625766871E-2</v>
      </c>
      <c r="AH97" s="23"/>
      <c r="AI97" s="23"/>
      <c r="AJ97" s="23"/>
      <c r="AK97" s="23"/>
      <c r="AL97" s="234">
        <f>AM71/(AO70-AN70)</f>
        <v>0.17333333333333334</v>
      </c>
      <c r="AM97" s="23"/>
      <c r="AN97" s="23"/>
      <c r="AO97" s="23"/>
      <c r="AP97" s="23"/>
      <c r="AQ97" s="234">
        <f>AR71/(AT70-AS70)</f>
        <v>0.13333333333333333</v>
      </c>
      <c r="AR97" s="23"/>
      <c r="AS97" s="23"/>
      <c r="AT97" s="23"/>
      <c r="AU97" s="23"/>
      <c r="AV97" s="234">
        <f>AW71/(AY70-AX70)</f>
        <v>4.7619047619047616E-2</v>
      </c>
      <c r="AW97" s="23"/>
      <c r="AX97" s="23"/>
      <c r="AY97" s="23"/>
      <c r="AZ97" s="23"/>
      <c r="BA97" s="234">
        <f>BB71/(BD70-BC70)</f>
        <v>1.2048192771084338E-2</v>
      </c>
      <c r="BB97" s="23"/>
      <c r="BC97" s="23"/>
      <c r="BD97" s="23"/>
      <c r="BE97" s="23"/>
      <c r="BF97" s="234">
        <f>BG71/(BI70-BH70)</f>
        <v>4.5454545454545456E-2</v>
      </c>
      <c r="BG97" s="23"/>
      <c r="BH97" s="23"/>
      <c r="BI97" s="23"/>
      <c r="BJ97" s="23"/>
      <c r="BK97" s="234">
        <f>BL71/(BN70-BM70)</f>
        <v>6.7164179104477612E-2</v>
      </c>
      <c r="BL97" s="23"/>
      <c r="BM97" s="23"/>
      <c r="BN97" s="23"/>
      <c r="BO97" s="23"/>
      <c r="BP97" s="234">
        <f>BR71/(BT70-BS70)</f>
        <v>7.1428571428571426E-3</v>
      </c>
      <c r="BQ97" s="234"/>
      <c r="BR97" s="23"/>
      <c r="BS97" s="23"/>
      <c r="BT97" s="247"/>
      <c r="BU97" s="23"/>
      <c r="BV97" s="234">
        <f>BX71/(BZ70-BY70)</f>
        <v>0.16216216216216217</v>
      </c>
      <c r="BW97" s="234"/>
      <c r="BX97" s="23"/>
      <c r="BY97" s="23"/>
      <c r="BZ97" s="23"/>
      <c r="CA97" s="23"/>
      <c r="CB97" s="234">
        <f>CD71/(CF70-CE70)</f>
        <v>0.19333333333333333</v>
      </c>
      <c r="CC97" s="234"/>
      <c r="CD97" s="23"/>
      <c r="CE97" s="23"/>
      <c r="CF97" s="23"/>
      <c r="CG97" s="23"/>
      <c r="CH97" s="234">
        <f>CJ71/(CL70-CK70)</f>
        <v>6.6666666666666666E-2</v>
      </c>
      <c r="CI97" s="234"/>
      <c r="CJ97" s="23"/>
      <c r="CK97" s="23"/>
      <c r="CL97" s="247"/>
      <c r="CM97" s="23"/>
      <c r="CN97" s="234">
        <f>CP71/(CR70-CQ70)</f>
        <v>0.16363636363636364</v>
      </c>
      <c r="CO97" s="234"/>
      <c r="CP97" s="23"/>
      <c r="CQ97" s="23"/>
      <c r="CR97" s="247"/>
      <c r="CS97" s="23"/>
      <c r="CT97" s="234">
        <f>CV71/(CX70-CW70)</f>
        <v>0.10112359550561797</v>
      </c>
      <c r="CU97" s="234"/>
      <c r="CV97" s="254"/>
      <c r="CW97" s="254"/>
      <c r="CX97" s="247"/>
      <c r="CY97" s="254"/>
      <c r="CZ97" s="234">
        <f>DB71/(DD70-DC70)</f>
        <v>0.20080321285140562</v>
      </c>
      <c r="DA97" s="234"/>
      <c r="DB97" s="254"/>
      <c r="DC97" s="23"/>
      <c r="DD97" s="247"/>
      <c r="DE97" s="23"/>
      <c r="DF97" s="234">
        <f>DH71/(DJ70-DI70)</f>
        <v>9.4650205761316872E-2</v>
      </c>
      <c r="DG97" s="234"/>
      <c r="DH97" s="23"/>
      <c r="DI97" s="23"/>
      <c r="DJ97" s="247"/>
      <c r="DK97" s="23"/>
      <c r="DL97" s="234">
        <f>DN71/(DP70-DO70)</f>
        <v>0.19298245614035087</v>
      </c>
      <c r="DM97" s="234"/>
      <c r="DN97" s="23"/>
      <c r="DO97" s="23"/>
      <c r="DP97" s="372">
        <f t="shared" si="110"/>
        <v>0.19298245614035087</v>
      </c>
      <c r="DQ97" s="23"/>
      <c r="DR97" s="234">
        <f>DT71/(DV70-DU70)</f>
        <v>0.17703349282296652</v>
      </c>
      <c r="DS97" s="234"/>
      <c r="DT97" s="23"/>
      <c r="DU97" s="23"/>
      <c r="DV97" s="23"/>
      <c r="DW97" s="23"/>
      <c r="DX97" s="234">
        <f>DZ71/(EB70-EA70)</f>
        <v>0.11401425178147269</v>
      </c>
      <c r="DY97" s="234"/>
      <c r="DZ97" s="23"/>
      <c r="EA97" s="23"/>
      <c r="EB97" s="23"/>
      <c r="EC97" s="23"/>
      <c r="ED97" s="234">
        <f>EF71/(EH70-EG70)</f>
        <v>7.9710144927536225E-2</v>
      </c>
      <c r="EE97" s="234"/>
      <c r="EF97" s="23"/>
      <c r="EG97" s="23"/>
      <c r="EH97" s="23"/>
      <c r="EI97" s="23"/>
      <c r="EJ97" s="247"/>
      <c r="EK97" s="247"/>
      <c r="EL97" s="247"/>
      <c r="EM97" s="247"/>
      <c r="EN97" s="247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49">
        <f t="shared" si="167"/>
        <v>0</v>
      </c>
      <c r="FA97" s="23"/>
      <c r="FB97" s="247">
        <f t="shared" si="172"/>
        <v>2.0202364932059429</v>
      </c>
      <c r="FC97" s="252"/>
      <c r="FD97" s="23"/>
      <c r="FE97" s="23"/>
      <c r="FF97" s="247">
        <f t="shared" si="186"/>
        <v>0.19298245614035087</v>
      </c>
      <c r="FG97" s="30"/>
      <c r="FH97" s="39"/>
      <c r="FI97" s="255"/>
      <c r="FJ97" s="255"/>
      <c r="FK97" s="235"/>
      <c r="FL97" s="235"/>
      <c r="FM97" s="235"/>
      <c r="FN97" s="235"/>
      <c r="FO97" s="235"/>
      <c r="FP97" s="235"/>
    </row>
    <row r="98" spans="1:172" x14ac:dyDescent="0.2">
      <c r="A98" s="2" t="s">
        <v>97</v>
      </c>
      <c r="BT98" s="247"/>
      <c r="CL98" s="247"/>
      <c r="CR98" s="247"/>
      <c r="CX98" s="247"/>
      <c r="DD98" s="247"/>
      <c r="DJ98" s="247"/>
      <c r="DP98" s="372">
        <f t="shared" si="110"/>
        <v>0</v>
      </c>
      <c r="EJ98" s="247"/>
      <c r="EK98" s="247"/>
      <c r="EL98" s="247"/>
      <c r="EM98" s="247"/>
      <c r="EN98" s="247"/>
      <c r="EZ98" s="249">
        <f t="shared" si="167"/>
        <v>0</v>
      </c>
      <c r="FF98" s="253"/>
    </row>
    <row r="99" spans="1:172" x14ac:dyDescent="0.2">
      <c r="Z99" s="98">
        <f>W63+X63+Y62-Z62</f>
        <v>0</v>
      </c>
      <c r="AB99" s="156"/>
      <c r="AC99" s="493" t="s">
        <v>71</v>
      </c>
      <c r="AD99" s="494"/>
      <c r="AE99" s="494"/>
      <c r="AF99" s="494"/>
      <c r="AG99" s="494"/>
      <c r="AH99" s="494"/>
      <c r="AI99" s="494"/>
      <c r="AJ99" s="494"/>
      <c r="AK99" s="494"/>
      <c r="AL99" s="494"/>
      <c r="AM99" s="494"/>
      <c r="AN99" s="494"/>
      <c r="AO99" s="494"/>
      <c r="AP99" s="494"/>
      <c r="AQ99" s="494"/>
      <c r="AR99" s="494"/>
      <c r="AS99" s="494"/>
      <c r="AT99" s="494"/>
      <c r="BT99" s="247"/>
      <c r="CL99" s="247"/>
      <c r="CR99" s="247"/>
      <c r="CX99" s="247"/>
      <c r="DD99" s="247"/>
      <c r="DJ99" s="247"/>
      <c r="DP99" s="372">
        <f t="shared" si="110"/>
        <v>0</v>
      </c>
      <c r="EJ99" s="247"/>
      <c r="EK99" s="247"/>
      <c r="EL99" s="247"/>
      <c r="EM99" s="247"/>
      <c r="EN99" s="247"/>
      <c r="EZ99" s="249">
        <f t="shared" si="167"/>
        <v>0</v>
      </c>
    </row>
    <row r="100" spans="1:172" x14ac:dyDescent="0.2">
      <c r="A100" s="2">
        <v>0</v>
      </c>
      <c r="Z100" s="98">
        <f>W64+X64+Y63-Z63</f>
        <v>0</v>
      </c>
      <c r="AB100" s="157"/>
      <c r="AC100" s="478" t="s">
        <v>72</v>
      </c>
      <c r="AD100" s="479"/>
      <c r="AE100" s="479"/>
      <c r="AF100" s="479"/>
      <c r="AG100" s="479"/>
      <c r="AH100" s="479"/>
      <c r="AI100" s="479"/>
      <c r="AJ100" s="479"/>
      <c r="AK100" s="479"/>
      <c r="AL100" s="479"/>
      <c r="AM100" s="479"/>
      <c r="AN100" s="479"/>
      <c r="AO100" s="479"/>
      <c r="AP100" s="479"/>
      <c r="AQ100" s="479"/>
      <c r="AR100" s="479"/>
      <c r="AS100" s="479"/>
      <c r="AT100" s="479"/>
      <c r="BT100" s="247"/>
      <c r="CE100" s="98">
        <f>CF72-CD73-CB73</f>
        <v>0</v>
      </c>
      <c r="CL100" s="247"/>
      <c r="CR100" s="247"/>
      <c r="CX100" s="247"/>
      <c r="DD100" s="247"/>
      <c r="DJ100" s="247"/>
      <c r="DP100" s="372">
        <f t="shared" si="110"/>
        <v>0</v>
      </c>
      <c r="EJ100" s="247"/>
      <c r="EK100" s="247"/>
      <c r="EL100" s="247"/>
      <c r="EM100" s="247"/>
      <c r="EN100" s="247"/>
      <c r="EZ100" s="249">
        <f t="shared" si="167"/>
        <v>0</v>
      </c>
    </row>
    <row r="101" spans="1:172" x14ac:dyDescent="0.2">
      <c r="Z101" s="98">
        <f>W65+X65+Y64-Z64</f>
        <v>0</v>
      </c>
      <c r="BT101" s="247"/>
      <c r="CL101" s="247"/>
      <c r="CR101" s="247"/>
      <c r="CX101" s="247"/>
      <c r="DD101" s="247"/>
      <c r="DJ101" s="247"/>
      <c r="DP101" s="372">
        <f t="shared" si="110"/>
        <v>0</v>
      </c>
      <c r="EJ101" s="247"/>
      <c r="EK101" s="247"/>
      <c r="EL101" s="247"/>
      <c r="EM101" s="247"/>
      <c r="EN101" s="247"/>
      <c r="EZ101" s="249">
        <f t="shared" si="167"/>
        <v>0</v>
      </c>
    </row>
    <row r="102" spans="1:172" x14ac:dyDescent="0.2">
      <c r="Z102" s="98">
        <f>W66+X66+Y65-Z65</f>
        <v>0</v>
      </c>
      <c r="AB102" s="263" t="s">
        <v>70</v>
      </c>
      <c r="AC102" s="264"/>
      <c r="AD102" s="264"/>
      <c r="AE102" s="264"/>
      <c r="AF102" s="264"/>
      <c r="AG102" s="264"/>
      <c r="AH102" s="264"/>
      <c r="AI102" s="264"/>
      <c r="AJ102" s="264"/>
      <c r="AK102" s="264"/>
      <c r="AL102" s="264"/>
      <c r="AM102" s="264"/>
      <c r="AN102" s="264"/>
      <c r="AO102" s="264"/>
      <c r="AP102" s="264"/>
      <c r="AQ102" s="264"/>
      <c r="BT102" s="247"/>
      <c r="CL102" s="247"/>
      <c r="CR102" s="247"/>
      <c r="CX102" s="247"/>
      <c r="DD102" s="247"/>
      <c r="DJ102" s="247"/>
      <c r="DP102" s="372">
        <f t="shared" si="110"/>
        <v>0</v>
      </c>
      <c r="EJ102" s="247"/>
      <c r="EK102" s="247"/>
      <c r="EL102" s="247"/>
      <c r="EM102" s="247"/>
      <c r="EN102" s="247"/>
      <c r="EZ102" s="249">
        <f t="shared" si="167"/>
        <v>0</v>
      </c>
    </row>
    <row r="103" spans="1:172" x14ac:dyDescent="0.2">
      <c r="Z103" s="98">
        <f>W67+X67+Y66-Z66</f>
        <v>0</v>
      </c>
      <c r="AB103" s="158" t="s">
        <v>69</v>
      </c>
      <c r="AC103" s="265"/>
      <c r="AD103" s="265"/>
      <c r="AE103" s="265"/>
      <c r="AF103" s="265"/>
      <c r="AG103" s="265"/>
      <c r="AH103" s="265"/>
      <c r="AI103" s="265"/>
      <c r="AJ103" s="265"/>
      <c r="AK103" s="265"/>
      <c r="AL103" s="265"/>
      <c r="AM103" s="265"/>
      <c r="AN103" s="265"/>
      <c r="AO103" s="265"/>
      <c r="AP103" s="265"/>
      <c r="AQ103" s="265"/>
      <c r="BT103" s="247"/>
      <c r="CL103" s="247"/>
      <c r="CR103" s="247"/>
      <c r="CX103" s="247"/>
      <c r="DD103" s="247"/>
      <c r="DJ103" s="247"/>
      <c r="DP103" s="372">
        <f t="shared" si="110"/>
        <v>0</v>
      </c>
      <c r="EJ103" s="247"/>
      <c r="EK103" s="247"/>
      <c r="EL103" s="247"/>
      <c r="EM103" s="247"/>
      <c r="EN103" s="247"/>
      <c r="EZ103" s="249">
        <f t="shared" si="167"/>
        <v>0</v>
      </c>
    </row>
    <row r="104" spans="1:172" x14ac:dyDescent="0.2">
      <c r="AB104" s="39"/>
      <c r="AC104" s="266"/>
      <c r="AD104" s="267"/>
      <c r="AE104" s="267"/>
      <c r="AF104" s="267"/>
      <c r="AG104" s="267"/>
      <c r="AH104" s="267"/>
      <c r="AI104" s="267"/>
      <c r="AJ104" s="267"/>
      <c r="AK104" s="267"/>
      <c r="AL104" s="267"/>
      <c r="AM104" s="267"/>
      <c r="AN104" s="267"/>
      <c r="AO104" s="267"/>
      <c r="AP104" s="268"/>
      <c r="AQ104" s="268"/>
      <c r="BT104" s="247"/>
      <c r="CL104" s="247"/>
      <c r="CR104" s="247"/>
      <c r="CX104" s="247"/>
      <c r="DD104" s="247"/>
      <c r="DJ104" s="247"/>
      <c r="DP104" s="372">
        <f t="shared" si="110"/>
        <v>0</v>
      </c>
      <c r="EJ104" s="247"/>
      <c r="EK104" s="247"/>
      <c r="EL104" s="247"/>
      <c r="EM104" s="247"/>
      <c r="EN104" s="247"/>
      <c r="EZ104" s="249">
        <f t="shared" si="167"/>
        <v>0</v>
      </c>
    </row>
    <row r="105" spans="1:172" x14ac:dyDescent="0.2">
      <c r="AB105" s="39"/>
      <c r="AC105" s="266"/>
      <c r="AD105" s="267"/>
      <c r="AE105" s="267"/>
      <c r="AF105" s="267"/>
      <c r="AG105" s="267"/>
      <c r="AH105" s="267"/>
      <c r="AI105" s="267"/>
      <c r="AJ105" s="267"/>
      <c r="AK105" s="267"/>
      <c r="AL105" s="267"/>
      <c r="AM105" s="267"/>
      <c r="AN105" s="267"/>
      <c r="AO105" s="267"/>
      <c r="AP105" s="268"/>
      <c r="AQ105" s="268"/>
      <c r="BT105" s="247"/>
      <c r="CL105" s="247"/>
      <c r="CX105" s="247"/>
      <c r="DD105" s="247"/>
      <c r="DJ105" s="247"/>
      <c r="DP105" s="372">
        <f t="shared" si="110"/>
        <v>0</v>
      </c>
      <c r="EJ105" s="247"/>
      <c r="EK105" s="247"/>
      <c r="EL105" s="247"/>
      <c r="EM105" s="247"/>
      <c r="EN105" s="247"/>
      <c r="EZ105" s="249">
        <f t="shared" si="167"/>
        <v>0</v>
      </c>
    </row>
    <row r="106" spans="1:172" x14ac:dyDescent="0.2">
      <c r="AD106" s="104"/>
      <c r="AG106" s="269" t="s">
        <v>73</v>
      </c>
      <c r="AH106" s="267"/>
      <c r="AI106" s="267"/>
      <c r="AJ106" s="267"/>
      <c r="AK106" s="267"/>
      <c r="AL106" s="267"/>
      <c r="AM106" s="267"/>
      <c r="BT106" s="247"/>
      <c r="CL106" s="247"/>
      <c r="CX106" s="247"/>
      <c r="DJ106" s="247"/>
      <c r="DP106" s="372">
        <f t="shared" si="110"/>
        <v>0</v>
      </c>
      <c r="EJ106" s="247"/>
      <c r="EK106" s="247"/>
      <c r="EL106" s="247"/>
      <c r="EM106" s="247"/>
      <c r="EN106" s="247"/>
      <c r="EZ106" s="249">
        <f t="shared" si="167"/>
        <v>0</v>
      </c>
    </row>
    <row r="107" spans="1:172" x14ac:dyDescent="0.2">
      <c r="BT107" s="247"/>
      <c r="CL107" s="247"/>
      <c r="CX107" s="247"/>
      <c r="DJ107" s="247"/>
      <c r="DP107" s="372">
        <f t="shared" si="110"/>
        <v>0</v>
      </c>
      <c r="EJ107" s="247"/>
      <c r="EK107" s="247"/>
      <c r="EL107" s="247"/>
      <c r="EM107" s="247"/>
      <c r="EN107" s="247"/>
      <c r="EZ107" s="249">
        <f t="shared" si="167"/>
        <v>0</v>
      </c>
    </row>
    <row r="108" spans="1:172" ht="13.5" thickBot="1" x14ac:dyDescent="0.25">
      <c r="BT108" s="247"/>
      <c r="CL108" s="247"/>
      <c r="CX108" s="247"/>
      <c r="DJ108" s="247"/>
      <c r="DP108" s="372">
        <f t="shared" si="110"/>
        <v>0</v>
      </c>
      <c r="DU108" s="294"/>
      <c r="EJ108" s="247"/>
      <c r="EK108" s="247"/>
      <c r="EL108" s="247"/>
      <c r="EM108" s="247"/>
      <c r="EN108" s="247"/>
      <c r="EZ108" s="249">
        <f t="shared" si="167"/>
        <v>0</v>
      </c>
    </row>
    <row r="109" spans="1:172" ht="13.5" thickBot="1" x14ac:dyDescent="0.25">
      <c r="A109" s="295" t="s">
        <v>119</v>
      </c>
      <c r="B109" s="296"/>
      <c r="C109" s="296"/>
      <c r="D109" s="296"/>
      <c r="E109" s="296"/>
      <c r="F109" s="296"/>
      <c r="G109" s="296"/>
      <c r="H109" s="296"/>
      <c r="I109" s="296"/>
      <c r="J109" s="296"/>
      <c r="K109" s="296"/>
      <c r="L109" s="296"/>
      <c r="M109" s="296"/>
      <c r="N109" s="296"/>
      <c r="O109" s="296"/>
      <c r="P109" s="296"/>
      <c r="Q109" s="296"/>
      <c r="R109" s="296"/>
      <c r="S109" s="296"/>
      <c r="T109" s="296"/>
      <c r="U109" s="296"/>
      <c r="V109" s="297"/>
      <c r="W109" s="298">
        <f>X72/(Z71-Y71)</f>
        <v>0</v>
      </c>
      <c r="X109" s="299"/>
      <c r="Y109" s="297"/>
      <c r="Z109" s="297"/>
      <c r="AA109" s="297"/>
      <c r="AB109" s="298">
        <f>AC72/(AE71-AD71)</f>
        <v>-2.1276595744680851E-2</v>
      </c>
      <c r="AC109" s="297"/>
      <c r="AD109" s="297"/>
      <c r="AE109" s="297"/>
      <c r="AF109" s="297"/>
      <c r="AG109" s="298">
        <f>AH72/(AJ71-AI71)</f>
        <v>-2.6548672566371681E-2</v>
      </c>
      <c r="AH109" s="297"/>
      <c r="AI109" s="297"/>
      <c r="AJ109" s="297"/>
      <c r="AK109" s="297"/>
      <c r="AL109" s="300">
        <f>AM72/(AO71-AN71)</f>
        <v>-0.15217391304347827</v>
      </c>
      <c r="AM109" s="300"/>
      <c r="AN109" s="300"/>
      <c r="AO109" s="300"/>
      <c r="AP109" s="300"/>
      <c r="AQ109" s="300">
        <f>AR72/(AT71-AS71)</f>
        <v>-0.15789473684210525</v>
      </c>
      <c r="AR109" s="300"/>
      <c r="AS109" s="300"/>
      <c r="AT109" s="300"/>
      <c r="AU109" s="300"/>
      <c r="AV109" s="300"/>
      <c r="AW109" s="300">
        <f>AW72/(AY71-AX71)</f>
        <v>0</v>
      </c>
      <c r="AX109" s="300"/>
      <c r="AY109" s="300"/>
      <c r="AZ109" s="300"/>
      <c r="BA109" s="300">
        <f>BB72/(BD71-BC71)</f>
        <v>7.4626865671641784E-2</v>
      </c>
      <c r="BB109" s="300"/>
      <c r="BC109" s="300"/>
      <c r="BD109" s="300"/>
      <c r="BE109" s="300"/>
      <c r="BF109" s="300">
        <f t="shared" ref="BF109:BF110" si="187">BG72/(BI71-BH71)</f>
        <v>-0.125</v>
      </c>
      <c r="BG109" s="300"/>
      <c r="BH109" s="300"/>
      <c r="BI109" s="300"/>
      <c r="BJ109" s="300"/>
      <c r="BK109" s="300">
        <f>BL72/(BN71-BM71)</f>
        <v>4.807692307692308E-2</v>
      </c>
      <c r="BL109" s="300"/>
      <c r="BM109" s="300"/>
      <c r="BN109" s="300"/>
      <c r="BO109" s="300"/>
      <c r="BP109" s="300">
        <f>BR72/(BT71-BS71)</f>
        <v>6.8027210884353748E-2</v>
      </c>
      <c r="BQ109" s="300"/>
      <c r="BR109" s="297"/>
      <c r="BS109" s="297"/>
      <c r="BT109" s="247"/>
      <c r="BU109" s="297"/>
      <c r="BV109" s="297"/>
      <c r="BW109" s="297"/>
      <c r="BX109" s="297"/>
      <c r="BY109" s="298">
        <f>BX72/(BZ71-BY71)</f>
        <v>2.8571428571428571E-2</v>
      </c>
      <c r="BZ109" s="297"/>
      <c r="CA109" s="297"/>
      <c r="CB109" s="297"/>
      <c r="CC109" s="297"/>
      <c r="CD109" s="298">
        <f>CD72/(CF71-CE71)</f>
        <v>8.5106382978723402E-2</v>
      </c>
      <c r="CE109" s="297"/>
      <c r="CF109" s="297"/>
      <c r="CG109" s="297"/>
      <c r="CH109" s="297"/>
      <c r="CI109" s="297"/>
      <c r="CJ109" s="298">
        <f>CJ72/(CL71-CK71)</f>
        <v>4.9586776859504134E-2</v>
      </c>
      <c r="CK109" s="297"/>
      <c r="CL109" s="247"/>
      <c r="CM109" s="297"/>
      <c r="CN109" s="297"/>
      <c r="CO109" s="297"/>
      <c r="CP109" s="298"/>
      <c r="CQ109" s="300">
        <f>CP72/(CR71-CQ71)</f>
        <v>0.11578947368421053</v>
      </c>
      <c r="CR109" s="297"/>
      <c r="CS109" s="297"/>
      <c r="CT109" s="297"/>
      <c r="CU109" s="297"/>
      <c r="CV109" s="297"/>
      <c r="CW109" s="300">
        <f>CV72/(CX71-CW71)</f>
        <v>0.13829787234042554</v>
      </c>
      <c r="CX109" s="247"/>
      <c r="CY109" s="297"/>
      <c r="CZ109" s="297"/>
      <c r="DA109" s="297"/>
      <c r="DB109" s="297"/>
      <c r="DC109" s="300">
        <f>DB72/(DD71-DC71)</f>
        <v>0.1095890410958904</v>
      </c>
      <c r="DD109" s="297"/>
      <c r="DE109" s="297"/>
      <c r="DF109" s="297"/>
      <c r="DG109" s="297"/>
      <c r="DH109" s="300">
        <f>DH72/(DJ71-DI71)</f>
        <v>8.5271317829457363E-2</v>
      </c>
      <c r="DI109" s="297"/>
      <c r="DJ109" s="247"/>
      <c r="DK109" s="297"/>
      <c r="DL109" s="297"/>
      <c r="DM109" s="297"/>
      <c r="DN109" s="300">
        <f>DN72/(DP71-DO71)</f>
        <v>0.15217391304347827</v>
      </c>
      <c r="DO109" s="297"/>
      <c r="DP109" s="372">
        <f t="shared" si="110"/>
        <v>0</v>
      </c>
      <c r="DQ109" s="297"/>
      <c r="DR109" s="297"/>
      <c r="DS109" s="297"/>
      <c r="DT109" s="300">
        <f>DT72/(DV71-DU71)</f>
        <v>0.10582010582010581</v>
      </c>
      <c r="DU109" s="297"/>
      <c r="DV109" s="297"/>
      <c r="DW109" s="297"/>
      <c r="DX109" s="297"/>
      <c r="DY109" s="297"/>
      <c r="DZ109" s="300">
        <f>DZ72/(EB71-EA71)</f>
        <v>0.10120481927710843</v>
      </c>
      <c r="EA109" s="297"/>
      <c r="EB109" s="297"/>
      <c r="EC109" s="297"/>
      <c r="ED109" s="297"/>
      <c r="EE109" s="297"/>
      <c r="EF109" s="300">
        <f>EF72/(EH71-EG71)</f>
        <v>7.1942446043165464E-2</v>
      </c>
      <c r="EG109" s="297"/>
      <c r="EH109" s="297"/>
      <c r="EI109" s="297"/>
      <c r="EJ109" s="247"/>
      <c r="EK109" s="247"/>
      <c r="EL109" s="247"/>
      <c r="EM109" s="247"/>
      <c r="EN109" s="247"/>
      <c r="EO109" s="297"/>
      <c r="EP109" s="297"/>
      <c r="EQ109" s="297"/>
      <c r="ER109" s="297"/>
      <c r="ES109" s="297"/>
      <c r="ET109" s="297"/>
      <c r="EU109" s="297"/>
      <c r="EV109" s="297"/>
      <c r="EW109" s="297"/>
      <c r="EX109" s="297"/>
      <c r="EY109" s="297"/>
      <c r="EZ109" s="249">
        <f t="shared" si="167"/>
        <v>0</v>
      </c>
      <c r="FA109" s="301"/>
      <c r="FB109" s="301"/>
      <c r="FC109" s="301"/>
      <c r="FD109" s="301"/>
      <c r="FE109" s="300">
        <f>FD72/(FF71-FE71)</f>
        <v>6.9922308546059936E-2</v>
      </c>
      <c r="FF109" s="301"/>
    </row>
    <row r="110" spans="1:172" ht="13.5" thickBot="1" x14ac:dyDescent="0.25">
      <c r="A110" s="295" t="s">
        <v>120</v>
      </c>
      <c r="B110" s="296"/>
      <c r="C110" s="296"/>
      <c r="D110" s="296"/>
      <c r="E110" s="296"/>
      <c r="F110" s="296"/>
      <c r="G110" s="296"/>
      <c r="H110" s="296"/>
      <c r="I110" s="296"/>
      <c r="J110" s="296"/>
      <c r="K110" s="296"/>
      <c r="L110" s="296"/>
      <c r="M110" s="296"/>
      <c r="N110" s="296"/>
      <c r="O110" s="296"/>
      <c r="P110" s="296"/>
      <c r="Q110" s="296"/>
      <c r="R110" s="296"/>
      <c r="S110" s="296"/>
      <c r="T110" s="296"/>
      <c r="U110" s="296"/>
      <c r="V110" s="297"/>
      <c r="W110" s="300">
        <f>X73/(Z72-Y72)</f>
        <v>-0.13333333333333333</v>
      </c>
      <c r="X110" s="297"/>
      <c r="Y110" s="297"/>
      <c r="Z110" s="297"/>
      <c r="AA110" s="297"/>
      <c r="AB110" s="298">
        <f t="shared" ref="AB110:AB111" si="188">AC73/(AE72-AD72)</f>
        <v>-0.11538461538461539</v>
      </c>
      <c r="AC110" s="297"/>
      <c r="AD110" s="297"/>
      <c r="AE110" s="297"/>
      <c r="AF110" s="297"/>
      <c r="AG110" s="298">
        <f t="shared" ref="AG110:AG111" si="189">AH73/(AJ72-AI72)</f>
        <v>3.7974683544303799E-2</v>
      </c>
      <c r="AH110" s="297"/>
      <c r="AI110" s="297"/>
      <c r="AJ110" s="297"/>
      <c r="AK110" s="297"/>
      <c r="AL110" s="300">
        <f t="shared" ref="AL110:AL111" si="190">AM73/(AO72-AN72)</f>
        <v>6.4516129032258063E-2</v>
      </c>
      <c r="AM110" s="297"/>
      <c r="AN110" s="297"/>
      <c r="AO110" s="297"/>
      <c r="AP110" s="297"/>
      <c r="AQ110" s="300">
        <f t="shared" ref="AQ110:AQ111" si="191">AR73/(AT72-AS72)</f>
        <v>0</v>
      </c>
      <c r="AR110" s="297"/>
      <c r="AS110" s="297"/>
      <c r="AT110" s="297"/>
      <c r="AU110" s="297"/>
      <c r="AV110" s="302"/>
      <c r="AW110" s="300">
        <f>AW73/(AY72-AX72)</f>
        <v>0.33333333333333331</v>
      </c>
      <c r="AX110" s="297"/>
      <c r="AY110" s="297"/>
      <c r="AZ110" s="297"/>
      <c r="BA110" s="300">
        <f t="shared" ref="BA110:BA111" si="192">BB73/(BD72-BC72)</f>
        <v>-6.25E-2</v>
      </c>
      <c r="BB110" s="297"/>
      <c r="BC110" s="297"/>
      <c r="BD110" s="297"/>
      <c r="BE110" s="297"/>
      <c r="BF110" s="300">
        <f t="shared" si="187"/>
        <v>0.3125</v>
      </c>
      <c r="BG110" s="297"/>
      <c r="BH110" s="297"/>
      <c r="BI110" s="297"/>
      <c r="BJ110" s="297"/>
      <c r="BK110" s="300">
        <f t="shared" ref="BK110:BK111" si="193">BL73/(BN72-BM72)</f>
        <v>0.15254237288135594</v>
      </c>
      <c r="BL110" s="297"/>
      <c r="BM110" s="297"/>
      <c r="BN110" s="297"/>
      <c r="BO110" s="297"/>
      <c r="BP110" s="300">
        <f t="shared" ref="BP110:BP111" si="194">BR73/(BT72-BS72)</f>
        <v>7.8212290502793297E-2</v>
      </c>
      <c r="BQ110" s="300"/>
      <c r="BR110" s="297"/>
      <c r="BS110" s="297"/>
      <c r="BT110" s="247"/>
      <c r="BU110" s="297"/>
      <c r="BV110" s="297"/>
      <c r="BW110" s="297"/>
      <c r="BX110" s="297"/>
      <c r="BY110" s="298">
        <f t="shared" ref="BY110" si="195">BX73/(BZ72-BY72)</f>
        <v>9.3023255813953487E-2</v>
      </c>
      <c r="BZ110" s="297"/>
      <c r="CA110" s="297"/>
      <c r="CB110" s="297"/>
      <c r="CC110" s="297"/>
      <c r="CD110" s="298">
        <f t="shared" ref="CD110:CD111" si="196">CD73/(CF72-CE72)</f>
        <v>0.12429378531073447</v>
      </c>
      <c r="CE110" s="297"/>
      <c r="CF110" s="297"/>
      <c r="CG110" s="297"/>
      <c r="CH110" s="297"/>
      <c r="CI110" s="297"/>
      <c r="CJ110" s="298">
        <f t="shared" ref="CJ110:CJ111" si="197">CJ73/(CL72-CK72)</f>
        <v>8.5365853658536592E-2</v>
      </c>
      <c r="CK110" s="297"/>
      <c r="CL110" s="247"/>
      <c r="CM110" s="297"/>
      <c r="CN110" s="297"/>
      <c r="CO110" s="297"/>
      <c r="CP110" s="297"/>
      <c r="CQ110" s="300">
        <f t="shared" ref="CQ110:CQ111" si="198">CP73/(CR72-CQ72)</f>
        <v>0.112</v>
      </c>
      <c r="CR110" s="297"/>
      <c r="CS110" s="297"/>
      <c r="CT110" s="297"/>
      <c r="CU110" s="297"/>
      <c r="CV110" s="297"/>
      <c r="CW110" s="300">
        <f>CV73/(CX72-CW72)</f>
        <v>0.2</v>
      </c>
      <c r="CX110" s="247"/>
      <c r="CY110" s="297"/>
      <c r="CZ110" s="297"/>
      <c r="DA110" s="297"/>
      <c r="DB110" s="297"/>
      <c r="DC110" s="300">
        <f t="shared" ref="DC110:DC111" si="199">DB73/(DD72-DC72)</f>
        <v>0.18909090909090909</v>
      </c>
      <c r="DD110" s="297"/>
      <c r="DE110" s="297"/>
      <c r="DF110" s="297"/>
      <c r="DG110" s="297"/>
      <c r="DH110" s="300">
        <f t="shared" ref="DH110:DH111" si="200">DH73/(DJ72-DI72)</f>
        <v>7.7571669477234401E-2</v>
      </c>
      <c r="DI110" s="297"/>
      <c r="DJ110" s="247"/>
      <c r="DK110" s="297"/>
      <c r="DL110" s="297"/>
      <c r="DM110" s="297"/>
      <c r="DN110" s="300">
        <f t="shared" ref="DN110:DN111" si="201">DN73/(DP72-DO72)</f>
        <v>-7.6923076923076927E-2</v>
      </c>
      <c r="DO110" s="297"/>
      <c r="DP110" s="372">
        <f t="shared" si="110"/>
        <v>0</v>
      </c>
      <c r="DQ110" s="297"/>
      <c r="DR110" s="297"/>
      <c r="DS110" s="297"/>
      <c r="DT110" s="300">
        <f t="shared" ref="DT110:DT111" si="202">DT73/(DV72-DU72)</f>
        <v>6.5306122448979598E-2</v>
      </c>
      <c r="DU110" s="297"/>
      <c r="DV110" s="297"/>
      <c r="DW110" s="297"/>
      <c r="DX110" s="297"/>
      <c r="DY110" s="297"/>
      <c r="DZ110" s="300">
        <f t="shared" ref="DZ110:DZ111" si="203">DZ73/(EB72-EA72)</f>
        <v>5.1948051948051951E-2</v>
      </c>
      <c r="EA110" s="297"/>
      <c r="EB110" s="297"/>
      <c r="EC110" s="297"/>
      <c r="ED110" s="297"/>
      <c r="EE110" s="297"/>
      <c r="EF110" s="300">
        <f>EF73/(EH72-EG72)</f>
        <v>0.11627906976744186</v>
      </c>
      <c r="EG110" s="297"/>
      <c r="EH110" s="297"/>
      <c r="EI110" s="297"/>
      <c r="EJ110" s="247"/>
      <c r="EK110" s="247"/>
      <c r="EL110" s="247"/>
      <c r="EM110" s="247"/>
      <c r="EN110" s="247"/>
      <c r="EO110" s="297"/>
      <c r="EP110" s="297"/>
      <c r="EQ110" s="297"/>
      <c r="ER110" s="297"/>
      <c r="ES110" s="297"/>
      <c r="ET110" s="297"/>
      <c r="EU110" s="297"/>
      <c r="EV110" s="297"/>
      <c r="EW110" s="297"/>
      <c r="EX110" s="297"/>
      <c r="EY110" s="297"/>
      <c r="EZ110" s="249">
        <f t="shared" si="167"/>
        <v>0</v>
      </c>
      <c r="FA110" s="301"/>
      <c r="FB110" s="301"/>
      <c r="FC110" s="301"/>
      <c r="FD110" s="301"/>
      <c r="FE110" s="300">
        <f>FD73/(FF72-FE72)</f>
        <v>9.2292424743632154E-2</v>
      </c>
      <c r="FF110" s="301"/>
    </row>
    <row r="111" spans="1:172" ht="13.5" thickBot="1" x14ac:dyDescent="0.25">
      <c r="A111" s="295" t="s">
        <v>121</v>
      </c>
      <c r="B111" s="296"/>
      <c r="C111" s="296"/>
      <c r="D111" s="296"/>
      <c r="E111" s="296"/>
      <c r="F111" s="296"/>
      <c r="G111" s="296"/>
      <c r="H111" s="296"/>
      <c r="I111" s="296"/>
      <c r="J111" s="296"/>
      <c r="K111" s="296"/>
      <c r="L111" s="296"/>
      <c r="M111" s="296"/>
      <c r="N111" s="296"/>
      <c r="O111" s="296"/>
      <c r="P111" s="296"/>
      <c r="Q111" s="296"/>
      <c r="R111" s="296"/>
      <c r="S111" s="296"/>
      <c r="T111" s="296"/>
      <c r="U111" s="296"/>
      <c r="V111" s="297"/>
      <c r="W111" s="298">
        <f t="shared" ref="W111" si="204">X74/(Z73-Y73)</f>
        <v>0.2</v>
      </c>
      <c r="X111" s="297"/>
      <c r="Y111" s="297"/>
      <c r="Z111" s="297"/>
      <c r="AA111" s="297"/>
      <c r="AB111" s="298">
        <f t="shared" si="188"/>
        <v>0.19047619047619047</v>
      </c>
      <c r="AC111" s="297"/>
      <c r="AD111" s="297"/>
      <c r="AE111" s="297"/>
      <c r="AF111" s="297"/>
      <c r="AG111" s="298">
        <f t="shared" si="189"/>
        <v>0.41304347826086957</v>
      </c>
      <c r="AH111" s="297"/>
      <c r="AI111" s="297"/>
      <c r="AJ111" s="297"/>
      <c r="AK111" s="297"/>
      <c r="AL111" s="300">
        <f t="shared" si="190"/>
        <v>0.125</v>
      </c>
      <c r="AM111" s="297"/>
      <c r="AN111" s="297"/>
      <c r="AO111" s="297"/>
      <c r="AP111" s="297"/>
      <c r="AQ111" s="300">
        <f t="shared" si="191"/>
        <v>-0.14285714285714285</v>
      </c>
      <c r="AR111" s="297"/>
      <c r="AS111" s="297"/>
      <c r="AT111" s="297"/>
      <c r="AU111" s="297"/>
      <c r="AV111" s="302"/>
      <c r="AW111" s="300">
        <f>AW74/(AY73-AX73)</f>
        <v>0.16666666666666666</v>
      </c>
      <c r="AX111" s="297"/>
      <c r="AY111" s="297"/>
      <c r="AZ111" s="297"/>
      <c r="BA111" s="300">
        <f t="shared" si="192"/>
        <v>-0.1111111111111111</v>
      </c>
      <c r="BB111" s="297"/>
      <c r="BC111" s="297"/>
      <c r="BD111" s="297"/>
      <c r="BE111" s="297"/>
      <c r="BF111" s="300">
        <f>BG74/(BI73-BH73)</f>
        <v>-0.16666666666666666</v>
      </c>
      <c r="BG111" s="297"/>
      <c r="BH111" s="297"/>
      <c r="BI111" s="297"/>
      <c r="BJ111" s="297"/>
      <c r="BK111" s="300">
        <f t="shared" si="193"/>
        <v>0</v>
      </c>
      <c r="BL111" s="297"/>
      <c r="BM111" s="297"/>
      <c r="BN111" s="297"/>
      <c r="BO111" s="297"/>
      <c r="BP111" s="300">
        <f t="shared" si="194"/>
        <v>6.5934065934065936E-2</v>
      </c>
      <c r="BQ111" s="300"/>
      <c r="BR111" s="297"/>
      <c r="BS111" s="297"/>
      <c r="BT111" s="247"/>
      <c r="BU111" s="297"/>
      <c r="BV111" s="297"/>
      <c r="BW111" s="297"/>
      <c r="BX111" s="297"/>
      <c r="BY111" s="300">
        <f>BX74/(BZ73-BY73)</f>
        <v>0.10256410256410256</v>
      </c>
      <c r="BZ111" s="297"/>
      <c r="CA111" s="297"/>
      <c r="CB111" s="297"/>
      <c r="CC111" s="297"/>
      <c r="CD111" s="298">
        <f t="shared" si="196"/>
        <v>1.2987012987012988E-2</v>
      </c>
      <c r="CE111" s="297"/>
      <c r="CF111" s="297"/>
      <c r="CG111" s="297"/>
      <c r="CH111" s="297"/>
      <c r="CI111" s="297"/>
      <c r="CJ111" s="298">
        <f t="shared" si="197"/>
        <v>-1.3333333333333334E-2</v>
      </c>
      <c r="CK111" s="297"/>
      <c r="CL111" s="247"/>
      <c r="CM111" s="297"/>
      <c r="CN111" s="297"/>
      <c r="CO111" s="297"/>
      <c r="CP111" s="297"/>
      <c r="CQ111" s="300">
        <f t="shared" si="198"/>
        <v>0.14414414414414414</v>
      </c>
      <c r="CR111" s="297"/>
      <c r="CS111" s="297"/>
      <c r="CT111" s="297"/>
      <c r="CU111" s="297"/>
      <c r="CV111" s="297"/>
      <c r="CW111" s="300">
        <f t="shared" ref="CW111" si="205">CV74/(CX73-CW73)</f>
        <v>0.17647058823529413</v>
      </c>
      <c r="CX111" s="247"/>
      <c r="CY111" s="297"/>
      <c r="CZ111" s="297"/>
      <c r="DA111" s="297"/>
      <c r="DB111" s="297"/>
      <c r="DC111" s="300">
        <f t="shared" si="199"/>
        <v>0.11428571428571428</v>
      </c>
      <c r="DD111" s="297"/>
      <c r="DE111" s="297"/>
      <c r="DF111" s="297"/>
      <c r="DG111" s="297"/>
      <c r="DH111" s="300">
        <f t="shared" si="200"/>
        <v>8.3735909822866342E-2</v>
      </c>
      <c r="DI111" s="297"/>
      <c r="DJ111" s="247"/>
      <c r="DK111" s="297"/>
      <c r="DL111" s="297"/>
      <c r="DM111" s="297"/>
      <c r="DN111" s="300">
        <f t="shared" si="201"/>
        <v>7.1428571428571425E-2</v>
      </c>
      <c r="DO111" s="297"/>
      <c r="DP111" s="372">
        <f t="shared" si="110"/>
        <v>0</v>
      </c>
      <c r="DQ111" s="297"/>
      <c r="DR111" s="297"/>
      <c r="DS111" s="297"/>
      <c r="DT111" s="300">
        <f t="shared" si="202"/>
        <v>6.5789473684210523E-2</v>
      </c>
      <c r="DU111" s="297"/>
      <c r="DV111" s="297"/>
      <c r="DW111" s="297"/>
      <c r="DX111" s="297"/>
      <c r="DY111" s="297"/>
      <c r="DZ111" s="300">
        <f t="shared" si="203"/>
        <v>9.4142259414225937E-2</v>
      </c>
      <c r="EA111" s="297"/>
      <c r="EB111" s="297"/>
      <c r="EC111" s="297"/>
      <c r="ED111" s="297"/>
      <c r="EE111" s="297"/>
      <c r="EF111" s="300">
        <f>EF74/(EH73-EG73)</f>
        <v>5.4054054054054057E-2</v>
      </c>
      <c r="EG111" s="297"/>
      <c r="EH111" s="297"/>
      <c r="EI111" s="297"/>
      <c r="EJ111" s="247"/>
      <c r="EK111" s="247"/>
      <c r="EL111" s="247"/>
      <c r="EM111" s="247"/>
      <c r="EN111" s="247"/>
      <c r="EO111" s="297"/>
      <c r="EP111" s="297"/>
      <c r="EQ111" s="297"/>
      <c r="ER111" s="297"/>
      <c r="ES111" s="297"/>
      <c r="ET111" s="297"/>
      <c r="EU111" s="297"/>
      <c r="EV111" s="297"/>
      <c r="EW111" s="297"/>
      <c r="EX111" s="297"/>
      <c r="EY111" s="297"/>
      <c r="EZ111" s="249">
        <f t="shared" si="167"/>
        <v>0</v>
      </c>
      <c r="FA111" s="301"/>
      <c r="FB111" s="301"/>
      <c r="FC111" s="301"/>
      <c r="FD111" s="301"/>
      <c r="FE111" s="300">
        <f>FD74/(FF73-FE73)</f>
        <v>8.6459449803501245E-2</v>
      </c>
      <c r="FF111" s="301"/>
    </row>
    <row r="112" spans="1:172" x14ac:dyDescent="0.2">
      <c r="BT112" s="247"/>
      <c r="CL112" s="247"/>
      <c r="CX112" s="247"/>
      <c r="DJ112" s="247"/>
      <c r="DP112" s="372">
        <f t="shared" si="110"/>
        <v>0</v>
      </c>
      <c r="EF112" s="294"/>
      <c r="EJ112" s="247"/>
      <c r="EK112" s="247"/>
      <c r="EL112" s="247"/>
      <c r="EM112" s="247"/>
      <c r="EN112" s="247"/>
      <c r="EZ112" s="249">
        <f t="shared" si="167"/>
        <v>0</v>
      </c>
      <c r="FE112" s="294"/>
    </row>
    <row r="113" spans="23:163" x14ac:dyDescent="0.2">
      <c r="W113" s="269"/>
      <c r="X113" s="269"/>
      <c r="Y113" s="269"/>
      <c r="Z113" s="269"/>
      <c r="AA113" s="269"/>
      <c r="CL113" s="247"/>
      <c r="CX113" s="247"/>
      <c r="DJ113" s="247"/>
      <c r="DP113" s="372">
        <f t="shared" si="110"/>
        <v>0</v>
      </c>
      <c r="EF113" s="294"/>
      <c r="EJ113" s="247"/>
      <c r="EK113" s="247"/>
      <c r="EL113" s="247"/>
      <c r="EM113" s="247"/>
      <c r="EN113" s="247"/>
      <c r="EZ113" s="249">
        <f t="shared" si="167"/>
        <v>0</v>
      </c>
      <c r="FE113" s="294"/>
    </row>
    <row r="114" spans="23:163" x14ac:dyDescent="0.2">
      <c r="W114" s="269"/>
      <c r="X114" s="269"/>
      <c r="Y114" s="269"/>
      <c r="Z114" s="269"/>
      <c r="AA114" s="269"/>
      <c r="CL114" s="247"/>
      <c r="CX114" s="247"/>
      <c r="DJ114" s="247"/>
      <c r="DP114" s="372">
        <f t="shared" si="110"/>
        <v>0</v>
      </c>
      <c r="EF114" s="294"/>
      <c r="EJ114" s="247"/>
      <c r="EK114" s="247"/>
      <c r="EL114" s="247"/>
      <c r="EM114" s="247"/>
      <c r="EN114" s="247"/>
      <c r="EZ114" s="249">
        <f t="shared" si="167"/>
        <v>0</v>
      </c>
      <c r="FE114" s="294"/>
    </row>
    <row r="115" spans="23:163" ht="13.5" thickBot="1" x14ac:dyDescent="0.25">
      <c r="W115" s="269"/>
      <c r="X115" s="269"/>
      <c r="Y115" s="269"/>
      <c r="Z115" s="269"/>
      <c r="AA115" s="269"/>
      <c r="CL115" s="247"/>
      <c r="CX115" s="247"/>
      <c r="DJ115" s="247"/>
      <c r="DP115" s="372">
        <f t="shared" si="110"/>
        <v>0</v>
      </c>
      <c r="EF115" s="294"/>
      <c r="EJ115" s="247"/>
      <c r="EK115" s="247"/>
      <c r="EL115" s="247"/>
      <c r="EM115" s="247"/>
      <c r="EN115" s="247"/>
      <c r="EZ115" s="249">
        <f t="shared" si="167"/>
        <v>0</v>
      </c>
      <c r="FA115" s="98"/>
      <c r="FB115" s="98" t="s">
        <v>106</v>
      </c>
      <c r="FC115" s="98"/>
      <c r="FD115" s="98" t="s">
        <v>107</v>
      </c>
      <c r="FE115" s="98" t="s">
        <v>108</v>
      </c>
      <c r="FF115" s="98" t="s">
        <v>109</v>
      </c>
      <c r="FG115" s="303"/>
    </row>
    <row r="116" spans="23:163" ht="13.5" thickBot="1" x14ac:dyDescent="0.25">
      <c r="W116" s="269"/>
      <c r="X116" s="269"/>
      <c r="Y116" s="269"/>
      <c r="Z116" s="269"/>
      <c r="AA116" s="269"/>
      <c r="CL116" s="247"/>
      <c r="CX116" s="247"/>
      <c r="DJ116" s="247"/>
      <c r="DP116" s="372">
        <f t="shared" si="110"/>
        <v>0</v>
      </c>
      <c r="EJ116" s="247"/>
      <c r="EK116" s="247"/>
      <c r="EL116" s="247"/>
      <c r="EM116" s="247"/>
      <c r="EN116" s="247"/>
      <c r="EZ116" s="249">
        <f t="shared" si="167"/>
        <v>0</v>
      </c>
      <c r="FA116" s="297">
        <v>2012</v>
      </c>
      <c r="FB116" s="297">
        <v>3100</v>
      </c>
      <c r="FC116" s="297"/>
      <c r="FD116" s="297">
        <v>150</v>
      </c>
      <c r="FE116" s="297">
        <v>140</v>
      </c>
      <c r="FF116" s="306">
        <f t="shared" ref="FF116:FF122" si="206">FB116-FD116-FE116</f>
        <v>2810</v>
      </c>
      <c r="FG116" s="305"/>
    </row>
    <row r="117" spans="23:163" ht="13.5" thickBot="1" x14ac:dyDescent="0.25">
      <c r="W117" s="269"/>
      <c r="X117" s="269"/>
      <c r="Y117" s="269"/>
      <c r="Z117" s="269"/>
      <c r="AA117" s="269"/>
      <c r="CL117" s="247"/>
      <c r="CX117" s="247"/>
      <c r="DJ117" s="247"/>
      <c r="DP117" s="372">
        <f t="shared" si="110"/>
        <v>0</v>
      </c>
      <c r="EJ117" s="247"/>
      <c r="EK117" s="247"/>
      <c r="EL117" s="247"/>
      <c r="EM117" s="247"/>
      <c r="EN117" s="247"/>
      <c r="EZ117" s="249">
        <f t="shared" si="167"/>
        <v>0</v>
      </c>
      <c r="FA117" s="297">
        <v>2013</v>
      </c>
      <c r="FB117" s="297">
        <v>3233</v>
      </c>
      <c r="FC117" s="297"/>
      <c r="FD117" s="297">
        <v>200</v>
      </c>
      <c r="FE117" s="297">
        <v>180</v>
      </c>
      <c r="FF117" s="306">
        <f t="shared" si="206"/>
        <v>2853</v>
      </c>
      <c r="FG117" s="304"/>
    </row>
    <row r="118" spans="23:163" ht="13.5" thickBot="1" x14ac:dyDescent="0.25">
      <c r="W118" s="269"/>
      <c r="X118" s="269"/>
      <c r="Y118" s="269"/>
      <c r="Z118" s="269"/>
      <c r="AA118" s="269"/>
      <c r="CL118" s="247"/>
      <c r="CX118" s="247"/>
      <c r="DP118" s="372">
        <f t="shared" si="110"/>
        <v>0</v>
      </c>
      <c r="EJ118" s="247"/>
      <c r="EK118" s="247"/>
      <c r="EL118" s="247"/>
      <c r="EM118" s="247"/>
      <c r="EN118" s="247"/>
      <c r="EZ118" s="249">
        <f t="shared" si="167"/>
        <v>0</v>
      </c>
      <c r="FA118" s="297">
        <v>2014</v>
      </c>
      <c r="FB118" s="297">
        <v>3448</v>
      </c>
      <c r="FC118" s="297"/>
      <c r="FD118" s="297">
        <v>265</v>
      </c>
      <c r="FE118" s="297">
        <v>210</v>
      </c>
      <c r="FF118" s="306">
        <f t="shared" si="206"/>
        <v>2973</v>
      </c>
      <c r="FG118" s="305"/>
    </row>
    <row r="119" spans="23:163" ht="13.5" thickBot="1" x14ac:dyDescent="0.25">
      <c r="W119" s="269"/>
      <c r="X119" s="269"/>
      <c r="Y119" s="269"/>
      <c r="Z119" s="269"/>
      <c r="AA119" s="269"/>
      <c r="CL119" s="247"/>
      <c r="CX119" s="247"/>
      <c r="DP119" s="372">
        <f t="shared" si="110"/>
        <v>0</v>
      </c>
      <c r="EJ119" s="247"/>
      <c r="EK119" s="247"/>
      <c r="EL119" s="247"/>
      <c r="EM119" s="247"/>
      <c r="EN119" s="247"/>
      <c r="EZ119" s="249">
        <f t="shared" si="167"/>
        <v>0</v>
      </c>
      <c r="FA119" s="297">
        <v>2015</v>
      </c>
      <c r="FB119" s="297">
        <v>3716</v>
      </c>
      <c r="FC119" s="297"/>
      <c r="FD119" s="297">
        <v>300</v>
      </c>
      <c r="FE119" s="297">
        <v>225</v>
      </c>
      <c r="FF119" s="306">
        <f t="shared" si="206"/>
        <v>3191</v>
      </c>
      <c r="FG119" s="304"/>
    </row>
    <row r="120" spans="23:163" ht="13.5" thickBot="1" x14ac:dyDescent="0.25">
      <c r="W120" s="269"/>
      <c r="X120" s="269"/>
      <c r="Y120" s="269"/>
      <c r="Z120" s="269"/>
      <c r="AA120" s="269"/>
      <c r="CL120" s="247"/>
      <c r="CX120" s="247"/>
      <c r="DP120" s="372">
        <f t="shared" si="110"/>
        <v>0</v>
      </c>
      <c r="EJ120" s="247"/>
      <c r="EK120" s="247"/>
      <c r="EL120" s="247"/>
      <c r="EM120" s="247"/>
      <c r="EN120" s="247"/>
      <c r="EZ120" s="249">
        <f t="shared" si="167"/>
        <v>0</v>
      </c>
      <c r="FA120" s="297">
        <v>2016</v>
      </c>
      <c r="FB120" s="297">
        <v>4029</v>
      </c>
      <c r="FC120" s="297"/>
      <c r="FD120" s="297">
        <v>330</v>
      </c>
      <c r="FE120" s="297">
        <v>230</v>
      </c>
      <c r="FF120" s="306">
        <f t="shared" si="206"/>
        <v>3469</v>
      </c>
      <c r="FG120" s="305"/>
    </row>
    <row r="121" spans="23:163" ht="13.5" thickBot="1" x14ac:dyDescent="0.25">
      <c r="CL121" s="247"/>
      <c r="CX121" s="247"/>
      <c r="DP121" s="372">
        <f t="shared" si="110"/>
        <v>0</v>
      </c>
      <c r="EJ121" s="247"/>
      <c r="EK121" s="247"/>
      <c r="EL121" s="247"/>
      <c r="EM121" s="247"/>
      <c r="EN121" s="247"/>
      <c r="EZ121" s="249">
        <f t="shared" si="167"/>
        <v>0</v>
      </c>
      <c r="FA121" s="297">
        <v>2017</v>
      </c>
      <c r="FB121" s="297">
        <v>4313</v>
      </c>
      <c r="FC121" s="297"/>
      <c r="FD121" s="297">
        <v>355</v>
      </c>
      <c r="FE121" s="297">
        <v>240</v>
      </c>
      <c r="FF121" s="306">
        <f t="shared" si="206"/>
        <v>3718</v>
      </c>
      <c r="FG121" s="304"/>
    </row>
    <row r="122" spans="23:163" ht="13.5" thickBot="1" x14ac:dyDescent="0.25">
      <c r="CL122" s="247"/>
      <c r="CX122" s="247"/>
      <c r="DP122" s="372">
        <f t="shared" si="110"/>
        <v>0</v>
      </c>
      <c r="EJ122" s="247"/>
      <c r="EK122" s="247"/>
      <c r="EL122" s="247"/>
      <c r="EM122" s="247"/>
      <c r="EN122" s="247"/>
      <c r="EZ122" s="249">
        <f t="shared" si="167"/>
        <v>0</v>
      </c>
      <c r="FA122" s="297">
        <v>2018</v>
      </c>
      <c r="FB122" s="297">
        <v>4642</v>
      </c>
      <c r="FC122" s="297"/>
      <c r="FD122" s="297">
        <v>380</v>
      </c>
      <c r="FE122" s="297">
        <v>255</v>
      </c>
      <c r="FF122" s="306">
        <f t="shared" si="206"/>
        <v>4007</v>
      </c>
      <c r="FG122" s="305"/>
    </row>
    <row r="123" spans="23:163" x14ac:dyDescent="0.2">
      <c r="CX123" s="247"/>
      <c r="DP123" s="372">
        <f t="shared" si="110"/>
        <v>0</v>
      </c>
      <c r="EJ123" s="247"/>
      <c r="EK123" s="247"/>
      <c r="EL123" s="247"/>
      <c r="EM123" s="247"/>
      <c r="EN123" s="247"/>
      <c r="EZ123" s="249">
        <f t="shared" si="167"/>
        <v>0</v>
      </c>
      <c r="FG123" s="304"/>
    </row>
    <row r="124" spans="23:163" x14ac:dyDescent="0.2">
      <c r="CX124" s="247"/>
      <c r="DP124" s="372">
        <f t="shared" si="110"/>
        <v>0</v>
      </c>
      <c r="EJ124" s="247"/>
      <c r="EK124" s="247"/>
      <c r="EL124" s="247"/>
      <c r="EM124" s="247"/>
      <c r="EN124" s="247"/>
      <c r="EZ124" s="249">
        <f t="shared" si="167"/>
        <v>0</v>
      </c>
      <c r="FG124" s="305"/>
    </row>
    <row r="125" spans="23:163" x14ac:dyDescent="0.2">
      <c r="CX125" s="247"/>
      <c r="DP125" s="372">
        <f t="shared" si="110"/>
        <v>0</v>
      </c>
      <c r="EJ125" s="247"/>
      <c r="EK125" s="247"/>
      <c r="EL125" s="247"/>
      <c r="EM125" s="247"/>
      <c r="EN125" s="247"/>
      <c r="EZ125" s="249">
        <f t="shared" si="167"/>
        <v>0</v>
      </c>
      <c r="FG125" s="304"/>
    </row>
    <row r="126" spans="23:163" x14ac:dyDescent="0.2">
      <c r="CX126" s="247"/>
      <c r="DP126" s="372">
        <f t="shared" si="110"/>
        <v>0</v>
      </c>
      <c r="EJ126" s="247"/>
      <c r="EK126" s="247"/>
      <c r="EL126" s="247"/>
      <c r="EM126" s="247"/>
      <c r="EN126" s="247"/>
      <c r="EZ126" s="249">
        <f t="shared" si="167"/>
        <v>0</v>
      </c>
      <c r="FG126" s="305"/>
    </row>
    <row r="127" spans="23:163" x14ac:dyDescent="0.2">
      <c r="CX127" s="247"/>
      <c r="DP127" s="372">
        <f t="shared" si="110"/>
        <v>0</v>
      </c>
      <c r="EJ127" s="247"/>
      <c r="EK127" s="247"/>
      <c r="EL127" s="247"/>
      <c r="EM127" s="247"/>
      <c r="EN127" s="247"/>
      <c r="EZ127" s="249">
        <f t="shared" si="167"/>
        <v>0</v>
      </c>
      <c r="FG127" s="304"/>
    </row>
    <row r="128" spans="23:163" x14ac:dyDescent="0.2">
      <c r="DP128" s="372">
        <f t="shared" si="110"/>
        <v>0</v>
      </c>
      <c r="EJ128" s="247"/>
      <c r="EK128" s="247"/>
      <c r="EL128" s="247"/>
      <c r="EM128" s="247"/>
      <c r="EN128" s="247"/>
      <c r="EZ128" s="249">
        <f t="shared" si="167"/>
        <v>0</v>
      </c>
      <c r="FG128" s="304"/>
    </row>
    <row r="129" spans="120:164" x14ac:dyDescent="0.2">
      <c r="DP129" s="372">
        <f t="shared" si="110"/>
        <v>0</v>
      </c>
      <c r="EJ129" s="247"/>
      <c r="EK129" s="247"/>
      <c r="EL129" s="247"/>
      <c r="EM129" s="247"/>
      <c r="EN129" s="247"/>
      <c r="EZ129" s="249">
        <f t="shared" si="167"/>
        <v>0</v>
      </c>
      <c r="FG129" s="304"/>
    </row>
    <row r="130" spans="120:164" x14ac:dyDescent="0.2">
      <c r="DP130" s="372">
        <f t="shared" si="110"/>
        <v>0</v>
      </c>
      <c r="EJ130" s="247"/>
      <c r="EK130" s="247"/>
      <c r="EL130" s="247"/>
      <c r="EM130" s="247"/>
      <c r="EN130" s="247"/>
      <c r="EZ130" s="249">
        <f t="shared" si="167"/>
        <v>0</v>
      </c>
      <c r="FG130" s="304"/>
    </row>
    <row r="131" spans="120:164" x14ac:dyDescent="0.2">
      <c r="DP131" s="372">
        <f t="shared" si="110"/>
        <v>0</v>
      </c>
      <c r="EJ131" s="247"/>
      <c r="EK131" s="247"/>
      <c r="EL131" s="247"/>
      <c r="EM131" s="247"/>
      <c r="EN131" s="247"/>
      <c r="EZ131" s="249">
        <f t="shared" si="167"/>
        <v>0</v>
      </c>
      <c r="FG131" s="304"/>
    </row>
    <row r="132" spans="120:164" x14ac:dyDescent="0.2">
      <c r="DP132" s="372">
        <f t="shared" si="110"/>
        <v>0</v>
      </c>
      <c r="EJ132" s="247"/>
      <c r="EK132" s="247"/>
      <c r="EL132" s="247"/>
      <c r="EM132" s="247"/>
      <c r="EN132" s="247"/>
      <c r="EZ132" s="249">
        <f t="shared" si="167"/>
        <v>0</v>
      </c>
      <c r="FG132" s="304"/>
    </row>
    <row r="133" spans="120:164" x14ac:dyDescent="0.2">
      <c r="DP133" s="372">
        <f t="shared" si="110"/>
        <v>0</v>
      </c>
      <c r="EJ133" s="247"/>
      <c r="EK133" s="247"/>
      <c r="EL133" s="247"/>
      <c r="EM133" s="247"/>
      <c r="EN133" s="247"/>
      <c r="EZ133" s="249">
        <f t="shared" si="167"/>
        <v>0</v>
      </c>
      <c r="FG133" s="304"/>
    </row>
    <row r="134" spans="120:164" x14ac:dyDescent="0.2">
      <c r="DP134" s="372">
        <f t="shared" si="110"/>
        <v>0</v>
      </c>
      <c r="EJ134" s="247"/>
      <c r="EK134" s="247"/>
      <c r="EL134" s="247"/>
      <c r="EM134" s="247"/>
      <c r="EN134" s="247"/>
      <c r="EZ134" s="249">
        <f t="shared" si="167"/>
        <v>0</v>
      </c>
      <c r="FG134" s="304"/>
    </row>
    <row r="135" spans="120:164" x14ac:dyDescent="0.2">
      <c r="DP135" s="372">
        <f t="shared" si="110"/>
        <v>0</v>
      </c>
      <c r="EJ135" s="247"/>
      <c r="EK135" s="247"/>
      <c r="EL135" s="247"/>
      <c r="EM135" s="247"/>
      <c r="EN135" s="247"/>
      <c r="EZ135" s="249">
        <f t="shared" si="167"/>
        <v>0</v>
      </c>
      <c r="FG135" s="304"/>
    </row>
    <row r="136" spans="120:164" x14ac:dyDescent="0.2">
      <c r="DP136" s="372">
        <f t="shared" si="110"/>
        <v>0</v>
      </c>
      <c r="EJ136" s="247"/>
      <c r="EK136" s="247"/>
      <c r="EL136" s="247"/>
      <c r="EM136" s="247"/>
      <c r="EN136" s="247"/>
      <c r="EZ136" s="249">
        <f t="shared" si="167"/>
        <v>0</v>
      </c>
      <c r="FG136" s="304"/>
    </row>
    <row r="137" spans="120:164" x14ac:dyDescent="0.2">
      <c r="DP137" s="372">
        <f t="shared" si="110"/>
        <v>0</v>
      </c>
      <c r="EJ137" s="247"/>
      <c r="EK137" s="247"/>
      <c r="EL137" s="247"/>
      <c r="EM137" s="247"/>
      <c r="EN137" s="247"/>
      <c r="EZ137" s="249">
        <f t="shared" si="167"/>
        <v>0</v>
      </c>
      <c r="FG137" s="304"/>
    </row>
    <row r="138" spans="120:164" x14ac:dyDescent="0.2">
      <c r="DP138" s="372">
        <f t="shared" si="110"/>
        <v>0</v>
      </c>
      <c r="EJ138" s="247"/>
      <c r="EK138" s="247"/>
      <c r="EL138" s="247"/>
      <c r="EM138" s="247"/>
      <c r="EN138" s="247"/>
      <c r="EZ138" s="249">
        <f t="shared" si="167"/>
        <v>0</v>
      </c>
      <c r="FG138" s="304"/>
    </row>
    <row r="139" spans="120:164" x14ac:dyDescent="0.2">
      <c r="DP139" s="372">
        <f t="shared" si="110"/>
        <v>0</v>
      </c>
      <c r="EJ139" s="247"/>
      <c r="EK139" s="247"/>
      <c r="EL139" s="247"/>
      <c r="EM139" s="247"/>
      <c r="EN139" s="247"/>
      <c r="EZ139" s="249">
        <f t="shared" si="167"/>
        <v>0</v>
      </c>
      <c r="FG139" s="304"/>
    </row>
    <row r="140" spans="120:164" x14ac:dyDescent="0.2">
      <c r="DP140" s="372">
        <f t="shared" si="110"/>
        <v>0</v>
      </c>
      <c r="EJ140" s="247"/>
      <c r="EK140" s="247"/>
      <c r="EL140" s="247"/>
      <c r="EM140" s="247"/>
      <c r="EN140" s="247"/>
      <c r="EZ140" s="249">
        <f t="shared" si="167"/>
        <v>0</v>
      </c>
      <c r="FG140" s="304"/>
    </row>
    <row r="141" spans="120:164" x14ac:dyDescent="0.2">
      <c r="EJ141" s="247"/>
      <c r="EK141" s="247"/>
      <c r="EL141" s="247"/>
      <c r="EM141" s="247"/>
      <c r="EN141" s="247"/>
      <c r="EZ141" s="249">
        <f t="shared" si="167"/>
        <v>0</v>
      </c>
      <c r="FG141" s="304"/>
      <c r="FH141" s="39">
        <f>3553-3575</f>
        <v>-22</v>
      </c>
    </row>
    <row r="142" spans="120:164" x14ac:dyDescent="0.2">
      <c r="EJ142" s="247"/>
      <c r="EK142" s="247"/>
      <c r="EL142" s="247"/>
      <c r="EM142" s="247"/>
      <c r="EN142" s="247"/>
      <c r="EZ142" s="249">
        <f t="shared" si="167"/>
        <v>0</v>
      </c>
      <c r="FG142" s="304"/>
      <c r="FH142" s="39">
        <f>6+7+1+6+2+2</f>
        <v>24</v>
      </c>
    </row>
    <row r="143" spans="120:164" x14ac:dyDescent="0.2">
      <c r="FG143" s="304"/>
    </row>
    <row r="144" spans="120:164" x14ac:dyDescent="0.2">
      <c r="FG144" s="304"/>
    </row>
    <row r="145" spans="163:163" x14ac:dyDescent="0.2">
      <c r="FG145" s="304"/>
    </row>
    <row r="146" spans="163:163" x14ac:dyDescent="0.2">
      <c r="FG146" s="304"/>
    </row>
    <row r="147" spans="163:163" x14ac:dyDescent="0.2">
      <c r="FG147" s="304"/>
    </row>
    <row r="148" spans="163:163" x14ac:dyDescent="0.2">
      <c r="FG148" s="304"/>
    </row>
    <row r="149" spans="163:163" x14ac:dyDescent="0.2">
      <c r="FG149" s="304"/>
    </row>
    <row r="150" spans="163:163" x14ac:dyDescent="0.2">
      <c r="FG150" s="305"/>
    </row>
    <row r="151" spans="163:163" x14ac:dyDescent="0.2">
      <c r="FG151" s="305"/>
    </row>
    <row r="152" spans="163:163" x14ac:dyDescent="0.2">
      <c r="FG152" s="305"/>
    </row>
    <row r="153" spans="163:163" x14ac:dyDescent="0.2">
      <c r="FG153" s="305"/>
    </row>
    <row r="154" spans="163:163" x14ac:dyDescent="0.2">
      <c r="FG154" s="305"/>
    </row>
    <row r="155" spans="163:163" x14ac:dyDescent="0.2">
      <c r="FG155" s="240"/>
    </row>
    <row r="156" spans="163:163" x14ac:dyDescent="0.2">
      <c r="FG156" s="240"/>
    </row>
    <row r="157" spans="163:163" x14ac:dyDescent="0.2">
      <c r="FG157" s="307"/>
    </row>
    <row r="158" spans="163:163" x14ac:dyDescent="0.2">
      <c r="FG158" s="240"/>
    </row>
    <row r="159" spans="163:163" x14ac:dyDescent="0.2">
      <c r="FG159" s="240"/>
    </row>
    <row r="160" spans="163:163" x14ac:dyDescent="0.2">
      <c r="FG160" s="240"/>
    </row>
    <row r="161" spans="163:163" x14ac:dyDescent="0.2">
      <c r="FG161" s="240"/>
    </row>
    <row r="162" spans="163:163" x14ac:dyDescent="0.2">
      <c r="FG162" s="240"/>
    </row>
    <row r="163" spans="163:163" x14ac:dyDescent="0.2">
      <c r="FG163" s="240"/>
    </row>
    <row r="164" spans="163:163" x14ac:dyDescent="0.2">
      <c r="FG164" s="240"/>
    </row>
    <row r="165" spans="163:163" x14ac:dyDescent="0.2">
      <c r="FG165" s="240"/>
    </row>
    <row r="166" spans="163:163" x14ac:dyDescent="0.2">
      <c r="FG166" s="240"/>
    </row>
    <row r="167" spans="163:163" x14ac:dyDescent="0.2">
      <c r="FG167" s="240"/>
    </row>
    <row r="168" spans="163:163" x14ac:dyDescent="0.2">
      <c r="FG168" s="240"/>
    </row>
    <row r="169" spans="163:163" x14ac:dyDescent="0.2">
      <c r="FG169" s="240"/>
    </row>
    <row r="170" spans="163:163" x14ac:dyDescent="0.2">
      <c r="FG170" s="240"/>
    </row>
    <row r="171" spans="163:163" x14ac:dyDescent="0.2">
      <c r="FG171" s="240"/>
    </row>
    <row r="172" spans="163:163" x14ac:dyDescent="0.2">
      <c r="FG172" s="240"/>
    </row>
    <row r="173" spans="163:163" x14ac:dyDescent="0.2">
      <c r="FG173" s="240"/>
    </row>
    <row r="174" spans="163:163" x14ac:dyDescent="0.2">
      <c r="FG174" s="240"/>
    </row>
    <row r="175" spans="163:163" x14ac:dyDescent="0.2">
      <c r="FG175" s="240"/>
    </row>
    <row r="176" spans="163:163" x14ac:dyDescent="0.2">
      <c r="FG176" s="240"/>
    </row>
    <row r="177" spans="163:163" x14ac:dyDescent="0.2">
      <c r="FG177" s="240"/>
    </row>
    <row r="178" spans="163:163" x14ac:dyDescent="0.2">
      <c r="FG178" s="240"/>
    </row>
    <row r="179" spans="163:163" x14ac:dyDescent="0.2">
      <c r="FG179" s="240"/>
    </row>
    <row r="180" spans="163:163" x14ac:dyDescent="0.2">
      <c r="FG180" s="240"/>
    </row>
    <row r="181" spans="163:163" x14ac:dyDescent="0.2">
      <c r="FG181" s="240"/>
    </row>
    <row r="182" spans="163:163" x14ac:dyDescent="0.2">
      <c r="FG182" s="240"/>
    </row>
    <row r="183" spans="163:163" x14ac:dyDescent="0.2">
      <c r="FG183" s="240"/>
    </row>
    <row r="184" spans="163:163" x14ac:dyDescent="0.2">
      <c r="FG184" s="240"/>
    </row>
    <row r="185" spans="163:163" x14ac:dyDescent="0.2">
      <c r="FG185" s="240"/>
    </row>
    <row r="186" spans="163:163" x14ac:dyDescent="0.2">
      <c r="FG186" s="240"/>
    </row>
    <row r="187" spans="163:163" x14ac:dyDescent="0.2">
      <c r="FG187" s="240"/>
    </row>
    <row r="188" spans="163:163" x14ac:dyDescent="0.2">
      <c r="FG188" s="240"/>
    </row>
    <row r="189" spans="163:163" x14ac:dyDescent="0.2">
      <c r="FG189" s="240"/>
    </row>
    <row r="190" spans="163:163" x14ac:dyDescent="0.2">
      <c r="FG190" s="240"/>
    </row>
    <row r="191" spans="163:163" x14ac:dyDescent="0.2">
      <c r="FG191" s="240"/>
    </row>
  </sheetData>
  <mergeCells count="76">
    <mergeCell ref="AC100:AT100"/>
    <mergeCell ref="AP6:AT6"/>
    <mergeCell ref="AU6:AY6"/>
    <mergeCell ref="CA6:CF6"/>
    <mergeCell ref="BJ6:BN6"/>
    <mergeCell ref="AZ6:BD6"/>
    <mergeCell ref="BE6:BI6"/>
    <mergeCell ref="BO6:BT6"/>
    <mergeCell ref="BU6:BZ6"/>
    <mergeCell ref="AF6:AJ6"/>
    <mergeCell ref="AC99:AT99"/>
    <mergeCell ref="AK6:AO6"/>
    <mergeCell ref="BO1:FF1"/>
    <mergeCell ref="BO2:FF2"/>
    <mergeCell ref="DQ6:DV6"/>
    <mergeCell ref="DW6:EB6"/>
    <mergeCell ref="EC6:EH6"/>
    <mergeCell ref="CG6:CL6"/>
    <mergeCell ref="EI6:EN6"/>
    <mergeCell ref="EO6:ET6"/>
    <mergeCell ref="GM8:GQ8"/>
    <mergeCell ref="FH8:FJ8"/>
    <mergeCell ref="FS9:FW9"/>
    <mergeCell ref="FX9:GB9"/>
    <mergeCell ref="GC9:GG9"/>
    <mergeCell ref="GH9:GL9"/>
    <mergeCell ref="GM9:GQ9"/>
    <mergeCell ref="FS8:FW8"/>
    <mergeCell ref="GH8:GL8"/>
    <mergeCell ref="FX8:GB8"/>
    <mergeCell ref="GC8:GG8"/>
    <mergeCell ref="FH9:FJ9"/>
    <mergeCell ref="GH10:GL10"/>
    <mergeCell ref="GM10:GQ10"/>
    <mergeCell ref="GM13:GQ13"/>
    <mergeCell ref="FS13:FW13"/>
    <mergeCell ref="FX12:GB12"/>
    <mergeCell ref="GC12:GG12"/>
    <mergeCell ref="GH12:GL12"/>
    <mergeCell ref="GM12:GQ12"/>
    <mergeCell ref="FS10:FW10"/>
    <mergeCell ref="GH11:GL11"/>
    <mergeCell ref="GM11:GQ11"/>
    <mergeCell ref="FS11:FW11"/>
    <mergeCell ref="FX10:GB10"/>
    <mergeCell ref="GC10:GG10"/>
    <mergeCell ref="FX11:GB11"/>
    <mergeCell ref="GC11:GG11"/>
    <mergeCell ref="FX13:GB13"/>
    <mergeCell ref="GC13:GG13"/>
    <mergeCell ref="GH13:GL13"/>
    <mergeCell ref="GM15:GQ15"/>
    <mergeCell ref="FH14:FJ14"/>
    <mergeCell ref="FS15:FW15"/>
    <mergeCell ref="FX15:GB15"/>
    <mergeCell ref="GC15:GG15"/>
    <mergeCell ref="GH15:GL15"/>
    <mergeCell ref="FX14:GB14"/>
    <mergeCell ref="GC14:GG14"/>
    <mergeCell ref="GH14:GL14"/>
    <mergeCell ref="GM14:GQ14"/>
    <mergeCell ref="V4:BN4"/>
    <mergeCell ref="FH13:FJ13"/>
    <mergeCell ref="FS14:FW14"/>
    <mergeCell ref="FS12:FW12"/>
    <mergeCell ref="FH12:FJ12"/>
    <mergeCell ref="FH10:FJ10"/>
    <mergeCell ref="FH11:FJ11"/>
    <mergeCell ref="DK6:DP6"/>
    <mergeCell ref="CM6:CR6"/>
    <mergeCell ref="CS6:CX6"/>
    <mergeCell ref="CY6:DD6"/>
    <mergeCell ref="DE6:DJ6"/>
    <mergeCell ref="V6:Z6"/>
    <mergeCell ref="AA6:AE6"/>
    <mergeCell ref="BO4:FF4"/>
  </mergeCells>
  <phoneticPr fontId="0" type="noConversion"/>
  <conditionalFormatting sqref="W113:AA120 FI69:FP77 FH82:FH65549 V3:FP3 FG1:FP2 BO1:BO2 FG4:FP4 FH5:FP5 V72:X77 V64:EH71 V6:EO6 FA6:FP6 V20:EN63 X143:FG65549 FA69:FG77 V82:W65549 FI81:FP65549 V85:EN96 FA20:FP60 FA61:FH61 FK61:FP61 FA62:FP68 V77:BC77 BR78:BR79 Y73:CC75 Y76:BW76 BY76:CC77 BX76:BX79 V72:CC72 CE72:CI77 CD72:CD79 CK72:CO77 CJ72:CJ79 CQ72:CU77 CP72:CP79 CW72:DA77 CV72:CV79 DC72:DG77 DB72:DB79 DI72:DM77 DH72:DH79 DO72:DS77 DN72:DN79 DU72:DY77 DT72:DT79 EA72:EE77 DZ72:DZ79 EG72:EH77 EF72:EF79 BJ81:BK81 BM81:BQ81 BZ81:CC81 BT81:BW81 BE77:BW77 BD77:BD80 V7:FP19 Y97:EY97 FC97:FE97 CE81:CF82 V82:AG83 AI82:AI83 AK82:BQ82 BY82:CC82 CE83 CK82:CK83 AK83:BN83 BS82:BW82 BS83:BT83 BY83 CQ82:CQ83 FG81:FG97 V84:BQ84 BS84:BW84 BY84:CC84 CE84:CF84 DK84:DP84 FA97 X98:EY142 FA98:FG142">
    <cfRule type="cellIs" dxfId="321" priority="347" stopIfTrue="1" operator="lessThan">
      <formula>0</formula>
    </cfRule>
  </conditionalFormatting>
  <conditionalFormatting sqref="EI77:EK77 EM77:EN77 EI64:EN76">
    <cfRule type="cellIs" dxfId="320" priority="318" stopIfTrue="1" operator="lessThan">
      <formula>0</formula>
    </cfRule>
  </conditionalFormatting>
  <conditionalFormatting sqref="EL77">
    <cfRule type="cellIs" dxfId="319" priority="317" stopIfTrue="1" operator="lessThan">
      <formula>0</formula>
    </cfRule>
  </conditionalFormatting>
  <conditionalFormatting sqref="EO77:EQ77 ES77:EZ77 EO67:EZ76">
    <cfRule type="cellIs" dxfId="318" priority="315" stopIfTrue="1" operator="lessThan">
      <formula>0</formula>
    </cfRule>
  </conditionalFormatting>
  <conditionalFormatting sqref="ER77">
    <cfRule type="cellIs" dxfId="317" priority="314" stopIfTrue="1" operator="lessThan">
      <formula>0</formula>
    </cfRule>
  </conditionalFormatting>
  <conditionalFormatting sqref="EO20:EZ63">
    <cfRule type="cellIs" dxfId="316" priority="313" stopIfTrue="1" operator="lessThan">
      <formula>0</formula>
    </cfRule>
  </conditionalFormatting>
  <conditionalFormatting sqref="EO64:EZ66">
    <cfRule type="cellIs" dxfId="315" priority="312" stopIfTrue="1" operator="lessThan">
      <formula>0</formula>
    </cfRule>
  </conditionalFormatting>
  <conditionalFormatting sqref="EO85:EO96 ES85:EY96">
    <cfRule type="cellIs" dxfId="314" priority="310" stopIfTrue="1" operator="lessThan">
      <formula>0</formula>
    </cfRule>
  </conditionalFormatting>
  <conditionalFormatting sqref="EP85:ER96">
    <cfRule type="cellIs" dxfId="313" priority="309" stopIfTrue="1" operator="lessThan">
      <formula>0</formula>
    </cfRule>
  </conditionalFormatting>
  <conditionalFormatting sqref="FA81:FA96 FE82:FF83 FE84:FE96 FF84:FF97">
    <cfRule type="cellIs" dxfId="312" priority="308" stopIfTrue="1" operator="lessThan">
      <formula>0</formula>
    </cfRule>
  </conditionalFormatting>
  <conditionalFormatting sqref="FC81 FC82:FD96">
    <cfRule type="cellIs" dxfId="311" priority="307" stopIfTrue="1" operator="lessThan">
      <formula>0</formula>
    </cfRule>
  </conditionalFormatting>
  <conditionalFormatting sqref="EM78:FG78 V78:BC78 FI78:FP78 X80 BS78:BW78 BY78:CC78 CE78:CI78 CK78:CO78 CQ78:CU78 CW78:DA78 DC78:DG78 DI78:DM78 DO78:DS78 DU78:DY78 EA78:EE78 EG78:EK78 AC80 AH80 BL80:BL81 BJ81:BQ81 BT81 BE78:BQ78">
    <cfRule type="cellIs" dxfId="310" priority="306" stopIfTrue="1" operator="lessThan">
      <formula>0</formula>
    </cfRule>
  </conditionalFormatting>
  <conditionalFormatting sqref="EL78">
    <cfRule type="cellIs" dxfId="309" priority="305" stopIfTrue="1" operator="lessThan">
      <formula>0</formula>
    </cfRule>
  </conditionalFormatting>
  <conditionalFormatting sqref="V80:W80 FI80:FL80 FN80:FP80 Y80:AB80 CF80:CI80 EM80:EQ80 ET80:FG80 AD80:AG80 BM80:BQ80 BS80:BW80 BY80:CC80 CK80:CO80 CQ80:CU80 CW80:DA80 DC80:DG80 DI80:DM80 DO80:DS80 DU80:DY80 EA80:EE80 EG80:EK80 AI80:AS80 AU81:AY81 BE81:BI81 FD81:FF81 AU80:BC80 BE80:BK80 FB81:FB82">
    <cfRule type="cellIs" dxfId="308" priority="303" stopIfTrue="1" operator="lessThan">
      <formula>0</formula>
    </cfRule>
  </conditionalFormatting>
  <conditionalFormatting sqref="EM79:FG79 V79:BC79 FI79:FP79 BS79:BW79 BY79:CC79 CE79:CI79 CK79:CO79 CQ79:CU79 CW79:DA79 DC79:DG79 DI79:DM79 DO79:DS79 DU79:DY79 EA79:EE79 EG79:EK79 AT80 BE79:BQ79">
    <cfRule type="cellIs" dxfId="307" priority="302" stopIfTrue="1" operator="lessThan">
      <formula>0</formula>
    </cfRule>
  </conditionalFormatting>
  <conditionalFormatting sqref="EL79">
    <cfRule type="cellIs" dxfId="306" priority="301" stopIfTrue="1" operator="lessThan">
      <formula>0</formula>
    </cfRule>
  </conditionalFormatting>
  <conditionalFormatting sqref="BR80:BR82">
    <cfRule type="cellIs" dxfId="305" priority="300" stopIfTrue="1" operator="lessThan">
      <formula>0</formula>
    </cfRule>
  </conditionalFormatting>
  <conditionalFormatting sqref="BX80:BX82">
    <cfRule type="cellIs" dxfId="304" priority="299" stopIfTrue="1" operator="lessThan">
      <formula>0</formula>
    </cfRule>
  </conditionalFormatting>
  <conditionalFormatting sqref="CD80:CD82">
    <cfRule type="cellIs" dxfId="303" priority="298" stopIfTrue="1" operator="lessThan">
      <formula>0</formula>
    </cfRule>
  </conditionalFormatting>
  <conditionalFormatting sqref="CJ80">
    <cfRule type="cellIs" dxfId="302" priority="297" stopIfTrue="1" operator="lessThan">
      <formula>0</formula>
    </cfRule>
  </conditionalFormatting>
  <conditionalFormatting sqref="CP80">
    <cfRule type="cellIs" dxfId="301" priority="296" stopIfTrue="1" operator="lessThan">
      <formula>0</formula>
    </cfRule>
  </conditionalFormatting>
  <conditionalFormatting sqref="CV80">
    <cfRule type="cellIs" dxfId="300" priority="295" stopIfTrue="1" operator="lessThan">
      <formula>0</formula>
    </cfRule>
  </conditionalFormatting>
  <conditionalFormatting sqref="DB80">
    <cfRule type="cellIs" dxfId="299" priority="294" stopIfTrue="1" operator="lessThan">
      <formula>0</formula>
    </cfRule>
  </conditionalFormatting>
  <conditionalFormatting sqref="DH80">
    <cfRule type="cellIs" dxfId="298" priority="293" stopIfTrue="1" operator="lessThan">
      <formula>0</formula>
    </cfRule>
  </conditionalFormatting>
  <conditionalFormatting sqref="DN80">
    <cfRule type="cellIs" dxfId="297" priority="292" stopIfTrue="1" operator="lessThan">
      <formula>0</formula>
    </cfRule>
  </conditionalFormatting>
  <conditionalFormatting sqref="DT80">
    <cfRule type="cellIs" dxfId="296" priority="291" stopIfTrue="1" operator="lessThan">
      <formula>0</formula>
    </cfRule>
  </conditionalFormatting>
  <conditionalFormatting sqref="DZ80">
    <cfRule type="cellIs" dxfId="295" priority="290" stopIfTrue="1" operator="lessThan">
      <formula>0</formula>
    </cfRule>
  </conditionalFormatting>
  <conditionalFormatting sqref="EF80">
    <cfRule type="cellIs" dxfId="294" priority="289" stopIfTrue="1" operator="lessThan">
      <formula>0</formula>
    </cfRule>
  </conditionalFormatting>
  <conditionalFormatting sqref="EL80">
    <cfRule type="cellIs" dxfId="293" priority="288" stopIfTrue="1" operator="lessThan">
      <formula>0</formula>
    </cfRule>
  </conditionalFormatting>
  <conditionalFormatting sqref="ER80:ER81">
    <cfRule type="cellIs" dxfId="292" priority="287" stopIfTrue="1" operator="lessThan">
      <formula>0</formula>
    </cfRule>
  </conditionalFormatting>
  <conditionalFormatting sqref="CE80">
    <cfRule type="cellIs" dxfId="291" priority="286" stopIfTrue="1" operator="lessThan">
      <formula>0</formula>
    </cfRule>
  </conditionalFormatting>
  <conditionalFormatting sqref="ES80">
    <cfRule type="cellIs" dxfId="290" priority="285" stopIfTrue="1" operator="lessThan">
      <formula>0</formula>
    </cfRule>
  </conditionalFormatting>
  <conditionalFormatting sqref="BU81:BW81 BZ81">
    <cfRule type="cellIs" dxfId="289" priority="284" stopIfTrue="1" operator="lessThan">
      <formula>0</formula>
    </cfRule>
  </conditionalFormatting>
  <conditionalFormatting sqref="CA81:CC81 CE81:CF81">
    <cfRule type="cellIs" dxfId="288" priority="283" stopIfTrue="1" operator="lessThan">
      <formula>0</formula>
    </cfRule>
  </conditionalFormatting>
  <conditionalFormatting sqref="CG81:CI81 CL81">
    <cfRule type="cellIs" dxfId="287" priority="282" stopIfTrue="1" operator="lessThan">
      <formula>0</formula>
    </cfRule>
  </conditionalFormatting>
  <conditionalFormatting sqref="CJ81:CJ82">
    <cfRule type="cellIs" dxfId="286" priority="281" stopIfTrue="1" operator="lessThan">
      <formula>0</formula>
    </cfRule>
  </conditionalFormatting>
  <conditionalFormatting sqref="CG81:CI81 CL81">
    <cfRule type="cellIs" dxfId="285" priority="280" stopIfTrue="1" operator="lessThan">
      <formula>0</formula>
    </cfRule>
  </conditionalFormatting>
  <conditionalFormatting sqref="CM81:CO81 CR81">
    <cfRule type="cellIs" dxfId="284" priority="279" stopIfTrue="1" operator="lessThan">
      <formula>0</formula>
    </cfRule>
  </conditionalFormatting>
  <conditionalFormatting sqref="CP81:CP83">
    <cfRule type="cellIs" dxfId="283" priority="278" stopIfTrue="1" operator="lessThan">
      <formula>0</formula>
    </cfRule>
  </conditionalFormatting>
  <conditionalFormatting sqref="CM81:CO81 CR81">
    <cfRule type="cellIs" dxfId="282" priority="277" stopIfTrue="1" operator="lessThan">
      <formula>0</formula>
    </cfRule>
  </conditionalFormatting>
  <conditionalFormatting sqref="CS81:CU81 CW81:CX81">
    <cfRule type="cellIs" dxfId="281" priority="276" stopIfTrue="1" operator="lessThan">
      <formula>0</formula>
    </cfRule>
  </conditionalFormatting>
  <conditionalFormatting sqref="CV81:CV82">
    <cfRule type="cellIs" dxfId="280" priority="275" stopIfTrue="1" operator="lessThan">
      <formula>0</formula>
    </cfRule>
  </conditionalFormatting>
  <conditionalFormatting sqref="CS81:CU81 CW81:CX81">
    <cfRule type="cellIs" dxfId="279" priority="274" stopIfTrue="1" operator="lessThan">
      <formula>0</formula>
    </cfRule>
  </conditionalFormatting>
  <conditionalFormatting sqref="CY81:DA81 DD81">
    <cfRule type="cellIs" dxfId="278" priority="273" stopIfTrue="1" operator="lessThan">
      <formula>0</formula>
    </cfRule>
  </conditionalFormatting>
  <conditionalFormatting sqref="DB81:DB82">
    <cfRule type="cellIs" dxfId="277" priority="272" stopIfTrue="1" operator="lessThan">
      <formula>0</formula>
    </cfRule>
  </conditionalFormatting>
  <conditionalFormatting sqref="CY81:DA81 DD81">
    <cfRule type="cellIs" dxfId="276" priority="271" stopIfTrue="1" operator="lessThan">
      <formula>0</formula>
    </cfRule>
  </conditionalFormatting>
  <conditionalFormatting sqref="DE81:DG81 DI81:DJ81">
    <cfRule type="cellIs" dxfId="275" priority="270" stopIfTrue="1" operator="lessThan">
      <formula>0</formula>
    </cfRule>
  </conditionalFormatting>
  <conditionalFormatting sqref="DH81:DH82">
    <cfRule type="cellIs" dxfId="274" priority="269" stopIfTrue="1" operator="lessThan">
      <formula>0</formula>
    </cfRule>
  </conditionalFormatting>
  <conditionalFormatting sqref="DE81:DG81 DI81:DJ81">
    <cfRule type="cellIs" dxfId="273" priority="268" stopIfTrue="1" operator="lessThan">
      <formula>0</formula>
    </cfRule>
  </conditionalFormatting>
  <conditionalFormatting sqref="DK81:DM81 DO81:DP81">
    <cfRule type="cellIs" dxfId="272" priority="267" stopIfTrue="1" operator="lessThan">
      <formula>0</formula>
    </cfRule>
  </conditionalFormatting>
  <conditionalFormatting sqref="DN81:DN82">
    <cfRule type="cellIs" dxfId="271" priority="266" stopIfTrue="1" operator="lessThan">
      <formula>0</formula>
    </cfRule>
  </conditionalFormatting>
  <conditionalFormatting sqref="DK81:DM81 DO81:DP81">
    <cfRule type="cellIs" dxfId="270" priority="265" stopIfTrue="1" operator="lessThan">
      <formula>0</formula>
    </cfRule>
  </conditionalFormatting>
  <conditionalFormatting sqref="DQ81:DS81 DV81">
    <cfRule type="cellIs" dxfId="269" priority="264" stopIfTrue="1" operator="lessThan">
      <formula>0</formula>
    </cfRule>
  </conditionalFormatting>
  <conditionalFormatting sqref="DQ81:DS81 DV81">
    <cfRule type="cellIs" dxfId="268" priority="262" stopIfTrue="1" operator="lessThan">
      <formula>0</formula>
    </cfRule>
  </conditionalFormatting>
  <conditionalFormatting sqref="DW81:DY81 EB81">
    <cfRule type="cellIs" dxfId="267" priority="261" stopIfTrue="1" operator="lessThan">
      <formula>0</formula>
    </cfRule>
  </conditionalFormatting>
  <conditionalFormatting sqref="DZ81:DZ82">
    <cfRule type="cellIs" dxfId="266" priority="260" stopIfTrue="1" operator="lessThan">
      <formula>0</formula>
    </cfRule>
  </conditionalFormatting>
  <conditionalFormatting sqref="DW81:DY81 EB81">
    <cfRule type="cellIs" dxfId="265" priority="259" stopIfTrue="1" operator="lessThan">
      <formula>0</formula>
    </cfRule>
  </conditionalFormatting>
  <conditionalFormatting sqref="EC81:EE81 EH81">
    <cfRule type="cellIs" dxfId="264" priority="258" stopIfTrue="1" operator="lessThan">
      <formula>0</formula>
    </cfRule>
  </conditionalFormatting>
  <conditionalFormatting sqref="EF81:EF82">
    <cfRule type="cellIs" dxfId="263" priority="257" stopIfTrue="1" operator="lessThan">
      <formula>0</formula>
    </cfRule>
  </conditionalFormatting>
  <conditionalFormatting sqref="EC81:EE81 EH81">
    <cfRule type="cellIs" dxfId="262" priority="256" stopIfTrue="1" operator="lessThan">
      <formula>0</formula>
    </cfRule>
  </conditionalFormatting>
  <conditionalFormatting sqref="EI81:EK81 EN81">
    <cfRule type="cellIs" dxfId="261" priority="255" stopIfTrue="1" operator="lessThan">
      <formula>0</formula>
    </cfRule>
  </conditionalFormatting>
  <conditionalFormatting sqref="EL81:EL82">
    <cfRule type="cellIs" dxfId="260" priority="254" stopIfTrue="1" operator="lessThan">
      <formula>0</formula>
    </cfRule>
  </conditionalFormatting>
  <conditionalFormatting sqref="EI81:EK81 EN81">
    <cfRule type="cellIs" dxfId="259" priority="253" stopIfTrue="1" operator="lessThan">
      <formula>0</formula>
    </cfRule>
  </conditionalFormatting>
  <conditionalFormatting sqref="EO81:EQ81 ET81:EZ81">
    <cfRule type="cellIs" dxfId="258" priority="252" stopIfTrue="1" operator="lessThan">
      <formula>0</formula>
    </cfRule>
  </conditionalFormatting>
  <conditionalFormatting sqref="EO81:EQ81 ET81:EZ81">
    <cfRule type="cellIs" dxfId="257" priority="250" stopIfTrue="1" operator="lessThan">
      <formula>0</formula>
    </cfRule>
  </conditionalFormatting>
  <conditionalFormatting sqref="AP81:AR81">
    <cfRule type="cellIs" dxfId="256" priority="249" stopIfTrue="1" operator="lessThan">
      <formula>0</formula>
    </cfRule>
  </conditionalFormatting>
  <conditionalFormatting sqref="AC81">
    <cfRule type="cellIs" dxfId="255" priority="248" stopIfTrue="1" operator="lessThan">
      <formula>0</formula>
    </cfRule>
  </conditionalFormatting>
  <conditionalFormatting sqref="AA81:AB81 AD81:AE81">
    <cfRule type="cellIs" dxfId="254" priority="247" stopIfTrue="1" operator="lessThan">
      <formula>0</formula>
    </cfRule>
  </conditionalFormatting>
  <conditionalFormatting sqref="X81">
    <cfRule type="cellIs" dxfId="253" priority="246" stopIfTrue="1" operator="lessThan">
      <formula>0</formula>
    </cfRule>
  </conditionalFormatting>
  <conditionalFormatting sqref="V81:W81 Y81:Z81">
    <cfRule type="cellIs" dxfId="252" priority="245" stopIfTrue="1" operator="lessThan">
      <formula>0</formula>
    </cfRule>
  </conditionalFormatting>
  <conditionalFormatting sqref="AH81:AH83">
    <cfRule type="cellIs" dxfId="251" priority="244" stopIfTrue="1" operator="lessThan">
      <formula>0</formula>
    </cfRule>
  </conditionalFormatting>
  <conditionalFormatting sqref="AF81:AG81 AI81">
    <cfRule type="cellIs" dxfId="250" priority="243" stopIfTrue="1" operator="lessThan">
      <formula>0</formula>
    </cfRule>
  </conditionalFormatting>
  <conditionalFormatting sqref="AM81">
    <cfRule type="cellIs" dxfId="249" priority="242" stopIfTrue="1" operator="lessThan">
      <formula>0</formula>
    </cfRule>
  </conditionalFormatting>
  <conditionalFormatting sqref="AK81:AL81 AN81:AO81">
    <cfRule type="cellIs" dxfId="248" priority="241" stopIfTrue="1" operator="lessThan">
      <formula>0</formula>
    </cfRule>
  </conditionalFormatting>
  <conditionalFormatting sqref="AZ81:BC81">
    <cfRule type="cellIs" dxfId="247" priority="240" stopIfTrue="1" operator="lessThan">
      <formula>0</formula>
    </cfRule>
  </conditionalFormatting>
  <conditionalFormatting sqref="AT81">
    <cfRule type="cellIs" dxfId="246" priority="239" stopIfTrue="1" operator="lessThan">
      <formula>0</formula>
    </cfRule>
  </conditionalFormatting>
  <conditionalFormatting sqref="BD81">
    <cfRule type="cellIs" dxfId="245" priority="238" stopIfTrue="1" operator="lessThan">
      <formula>0</formula>
    </cfRule>
  </conditionalFormatting>
  <conditionalFormatting sqref="BO82:BP82">
    <cfRule type="cellIs" dxfId="244" priority="237" stopIfTrue="1" operator="lessThan">
      <formula>0</formula>
    </cfRule>
  </conditionalFormatting>
  <conditionalFormatting sqref="BQ82">
    <cfRule type="cellIs" dxfId="243" priority="236" stopIfTrue="1" operator="lessThan">
      <formula>0</formula>
    </cfRule>
  </conditionalFormatting>
  <conditionalFormatting sqref="BU82:BV82">
    <cfRule type="cellIs" dxfId="242" priority="235" stopIfTrue="1" operator="lessThan">
      <formula>0</formula>
    </cfRule>
  </conditionalFormatting>
  <conditionalFormatting sqref="CA82:CB82">
    <cfRule type="cellIs" dxfId="241" priority="234" stopIfTrue="1" operator="lessThan">
      <formula>0</formula>
    </cfRule>
  </conditionalFormatting>
  <conditionalFormatting sqref="CG82:CI82">
    <cfRule type="cellIs" dxfId="240" priority="233" stopIfTrue="1" operator="lessThan">
      <formula>0</formula>
    </cfRule>
  </conditionalFormatting>
  <conditionalFormatting sqref="CG82:CI82">
    <cfRule type="cellIs" dxfId="239" priority="232" stopIfTrue="1" operator="lessThan">
      <formula>0</formula>
    </cfRule>
  </conditionalFormatting>
  <conditionalFormatting sqref="CM82:CN82">
    <cfRule type="cellIs" dxfId="238" priority="231" stopIfTrue="1" operator="lessThan">
      <formula>0</formula>
    </cfRule>
  </conditionalFormatting>
  <conditionalFormatting sqref="CM82:CN82">
    <cfRule type="cellIs" dxfId="237" priority="230" stopIfTrue="1" operator="lessThan">
      <formula>0</formula>
    </cfRule>
  </conditionalFormatting>
  <conditionalFormatting sqref="CS82:CU82">
    <cfRule type="cellIs" dxfId="236" priority="229" stopIfTrue="1" operator="lessThan">
      <formula>0</formula>
    </cfRule>
  </conditionalFormatting>
  <conditionalFormatting sqref="CS82:CU82">
    <cfRule type="cellIs" dxfId="235" priority="228" stopIfTrue="1" operator="lessThan">
      <formula>0</formula>
    </cfRule>
  </conditionalFormatting>
  <conditionalFormatting sqref="CY82:DA82">
    <cfRule type="cellIs" dxfId="234" priority="227" stopIfTrue="1" operator="lessThan">
      <formula>0</formula>
    </cfRule>
  </conditionalFormatting>
  <conditionalFormatting sqref="CY82:DA82">
    <cfRule type="cellIs" dxfId="233" priority="226" stopIfTrue="1" operator="lessThan">
      <formula>0</formula>
    </cfRule>
  </conditionalFormatting>
  <conditionalFormatting sqref="DE82:DG82">
    <cfRule type="cellIs" dxfId="232" priority="225" stopIfTrue="1" operator="lessThan">
      <formula>0</formula>
    </cfRule>
  </conditionalFormatting>
  <conditionalFormatting sqref="DE82:DG82">
    <cfRule type="cellIs" dxfId="231" priority="224" stopIfTrue="1" operator="lessThan">
      <formula>0</formula>
    </cfRule>
  </conditionalFormatting>
  <conditionalFormatting sqref="DK82:DL82">
    <cfRule type="cellIs" dxfId="230" priority="223" stopIfTrue="1" operator="lessThan">
      <formula>0</formula>
    </cfRule>
  </conditionalFormatting>
  <conditionalFormatting sqref="DK82:DL82">
    <cfRule type="cellIs" dxfId="229" priority="222" stopIfTrue="1" operator="lessThan">
      <formula>0</formula>
    </cfRule>
  </conditionalFormatting>
  <conditionalFormatting sqref="DQ82:DS82">
    <cfRule type="cellIs" dxfId="228" priority="221" stopIfTrue="1" operator="lessThan">
      <formula>0</formula>
    </cfRule>
  </conditionalFormatting>
  <conditionalFormatting sqref="DQ82:DS82">
    <cfRule type="cellIs" dxfId="227" priority="220" stopIfTrue="1" operator="lessThan">
      <formula>0</formula>
    </cfRule>
  </conditionalFormatting>
  <conditionalFormatting sqref="DW82:DY82">
    <cfRule type="cellIs" dxfId="226" priority="219" stopIfTrue="1" operator="lessThan">
      <formula>0</formula>
    </cfRule>
  </conditionalFormatting>
  <conditionalFormatting sqref="DW82:DY82">
    <cfRule type="cellIs" dxfId="225" priority="218" stopIfTrue="1" operator="lessThan">
      <formula>0</formula>
    </cfRule>
  </conditionalFormatting>
  <conditionalFormatting sqref="EC82:EE82">
    <cfRule type="cellIs" dxfId="224" priority="217" stopIfTrue="1" operator="lessThan">
      <formula>0</formula>
    </cfRule>
  </conditionalFormatting>
  <conditionalFormatting sqref="EC82:EE82">
    <cfRule type="cellIs" dxfId="223" priority="216" stopIfTrue="1" operator="lessThan">
      <formula>0</formula>
    </cfRule>
  </conditionalFormatting>
  <conditionalFormatting sqref="EI82:EK82">
    <cfRule type="cellIs" dxfId="222" priority="215" stopIfTrue="1" operator="lessThan">
      <formula>0</formula>
    </cfRule>
  </conditionalFormatting>
  <conditionalFormatting sqref="EI82:EK82">
    <cfRule type="cellIs" dxfId="221" priority="214" stopIfTrue="1" operator="lessThan">
      <formula>0</formula>
    </cfRule>
  </conditionalFormatting>
  <conditionalFormatting sqref="EO82:EQ82">
    <cfRule type="cellIs" dxfId="220" priority="213" stopIfTrue="1" operator="lessThan">
      <formula>0</formula>
    </cfRule>
  </conditionalFormatting>
  <conditionalFormatting sqref="EO82:EQ82">
    <cfRule type="cellIs" dxfId="219" priority="212" stopIfTrue="1" operator="lessThan">
      <formula>0</formula>
    </cfRule>
  </conditionalFormatting>
  <conditionalFormatting sqref="FB83:FB97">
    <cfRule type="cellIs" dxfId="218" priority="211" stopIfTrue="1" operator="lessThan">
      <formula>0</formula>
    </cfRule>
  </conditionalFormatting>
  <conditionalFormatting sqref="AJ81">
    <cfRule type="cellIs" dxfId="217" priority="209" stopIfTrue="1" operator="lessThan">
      <formula>0</formula>
    </cfRule>
  </conditionalFormatting>
  <conditionalFormatting sqref="AJ82:AJ83">
    <cfRule type="cellIs" dxfId="216" priority="208" stopIfTrue="1" operator="lessThan">
      <formula>0</formula>
    </cfRule>
  </conditionalFormatting>
  <conditionalFormatting sqref="AS81">
    <cfRule type="cellIs" dxfId="215" priority="207" stopIfTrue="1" operator="lessThan">
      <formula>0</formula>
    </cfRule>
  </conditionalFormatting>
  <conditionalFormatting sqref="BS81">
    <cfRule type="cellIs" dxfId="214" priority="206" stopIfTrue="1" operator="lessThan">
      <formula>0</formula>
    </cfRule>
  </conditionalFormatting>
  <conditionalFormatting sqref="BS82">
    <cfRule type="cellIs" dxfId="213" priority="205" stopIfTrue="1" operator="lessThan">
      <formula>0</formula>
    </cfRule>
  </conditionalFormatting>
  <conditionalFormatting sqref="BT82">
    <cfRule type="cellIs" dxfId="212" priority="204" stopIfTrue="1" operator="lessThan">
      <formula>0</formula>
    </cfRule>
  </conditionalFormatting>
  <conditionalFormatting sqref="BW82">
    <cfRule type="cellIs" dxfId="211" priority="203" stopIfTrue="1" operator="lessThan">
      <formula>0</formula>
    </cfRule>
  </conditionalFormatting>
  <conditionalFormatting sqref="BY82">
    <cfRule type="cellIs" dxfId="210" priority="202" stopIfTrue="1" operator="lessThan">
      <formula>0</formula>
    </cfRule>
  </conditionalFormatting>
  <conditionalFormatting sqref="BY81">
    <cfRule type="cellIs" dxfId="209" priority="201" stopIfTrue="1" operator="lessThan">
      <formula>0</formula>
    </cfRule>
  </conditionalFormatting>
  <conditionalFormatting sqref="BZ82">
    <cfRule type="cellIs" dxfId="208" priority="200" stopIfTrue="1" operator="lessThan">
      <formula>0</formula>
    </cfRule>
  </conditionalFormatting>
  <conditionalFormatting sqref="CE82">
    <cfRule type="cellIs" dxfId="207" priority="199" stopIfTrue="1" operator="lessThan">
      <formula>0</formula>
    </cfRule>
  </conditionalFormatting>
  <conditionalFormatting sqref="CC82">
    <cfRule type="cellIs" dxfId="206" priority="198" stopIfTrue="1" operator="lessThan">
      <formula>0</formula>
    </cfRule>
  </conditionalFormatting>
  <conditionalFormatting sqref="CF82">
    <cfRule type="cellIs" dxfId="205" priority="197" stopIfTrue="1" operator="lessThan">
      <formula>0</formula>
    </cfRule>
  </conditionalFormatting>
  <conditionalFormatting sqref="CK81">
    <cfRule type="cellIs" dxfId="204" priority="196" stopIfTrue="1" operator="lessThan">
      <formula>0</formula>
    </cfRule>
  </conditionalFormatting>
  <conditionalFormatting sqref="CK82">
    <cfRule type="cellIs" dxfId="203" priority="195" stopIfTrue="1" operator="lessThan">
      <formula>0</formula>
    </cfRule>
  </conditionalFormatting>
  <conditionalFormatting sqref="CL82">
    <cfRule type="cellIs" dxfId="202" priority="194" stopIfTrue="1" operator="lessThan">
      <formula>0</formula>
    </cfRule>
  </conditionalFormatting>
  <conditionalFormatting sqref="CL82">
    <cfRule type="cellIs" dxfId="201" priority="193" stopIfTrue="1" operator="lessThan">
      <formula>0</formula>
    </cfRule>
  </conditionalFormatting>
  <conditionalFormatting sqref="CQ81">
    <cfRule type="cellIs" dxfId="200" priority="192" stopIfTrue="1" operator="lessThan">
      <formula>0</formula>
    </cfRule>
  </conditionalFormatting>
  <conditionalFormatting sqref="CQ82">
    <cfRule type="cellIs" dxfId="199" priority="191" stopIfTrue="1" operator="lessThan">
      <formula>0</formula>
    </cfRule>
  </conditionalFormatting>
  <conditionalFormatting sqref="CO82">
    <cfRule type="cellIs" dxfId="198" priority="190" stopIfTrue="1" operator="lessThan">
      <formula>0</formula>
    </cfRule>
  </conditionalFormatting>
  <conditionalFormatting sqref="CO82">
    <cfRule type="cellIs" dxfId="197" priority="189" stopIfTrue="1" operator="lessThan">
      <formula>0</formula>
    </cfRule>
  </conditionalFormatting>
  <conditionalFormatting sqref="CW82">
    <cfRule type="cellIs" dxfId="196" priority="188" stopIfTrue="1" operator="lessThan">
      <formula>0</formula>
    </cfRule>
  </conditionalFormatting>
  <conditionalFormatting sqref="CW82">
    <cfRule type="cellIs" dxfId="195" priority="187" stopIfTrue="1" operator="lessThan">
      <formula>0</formula>
    </cfRule>
  </conditionalFormatting>
  <conditionalFormatting sqref="CX82">
    <cfRule type="cellIs" dxfId="194" priority="186" stopIfTrue="1" operator="lessThan">
      <formula>0</formula>
    </cfRule>
  </conditionalFormatting>
  <conditionalFormatting sqref="CX82">
    <cfRule type="cellIs" dxfId="193" priority="185" stopIfTrue="1" operator="lessThan">
      <formula>0</formula>
    </cfRule>
  </conditionalFormatting>
  <conditionalFormatting sqref="DC82">
    <cfRule type="cellIs" dxfId="192" priority="184" stopIfTrue="1" operator="lessThan">
      <formula>0</formula>
    </cfRule>
  </conditionalFormatting>
  <conditionalFormatting sqref="DC82">
    <cfRule type="cellIs" dxfId="191" priority="183" stopIfTrue="1" operator="lessThan">
      <formula>0</formula>
    </cfRule>
  </conditionalFormatting>
  <conditionalFormatting sqref="DC81">
    <cfRule type="cellIs" dxfId="190" priority="182" stopIfTrue="1" operator="lessThan">
      <formula>0</formula>
    </cfRule>
  </conditionalFormatting>
  <conditionalFormatting sqref="DD82">
    <cfRule type="cellIs" dxfId="189" priority="181" stopIfTrue="1" operator="lessThan">
      <formula>0</formula>
    </cfRule>
  </conditionalFormatting>
  <conditionalFormatting sqref="DD82">
    <cfRule type="cellIs" dxfId="188" priority="180" stopIfTrue="1" operator="lessThan">
      <formula>0</formula>
    </cfRule>
  </conditionalFormatting>
  <conditionalFormatting sqref="DI82">
    <cfRule type="cellIs" dxfId="187" priority="179" stopIfTrue="1" operator="lessThan">
      <formula>0</formula>
    </cfRule>
  </conditionalFormatting>
  <conditionalFormatting sqref="DI82">
    <cfRule type="cellIs" dxfId="186" priority="178" stopIfTrue="1" operator="lessThan">
      <formula>0</formula>
    </cfRule>
  </conditionalFormatting>
  <conditionalFormatting sqref="DJ82">
    <cfRule type="cellIs" dxfId="185" priority="177" stopIfTrue="1" operator="lessThan">
      <formula>0</formula>
    </cfRule>
  </conditionalFormatting>
  <conditionalFormatting sqref="DJ82">
    <cfRule type="cellIs" dxfId="184" priority="176" stopIfTrue="1" operator="lessThan">
      <formula>0</formula>
    </cfRule>
  </conditionalFormatting>
  <conditionalFormatting sqref="DO82">
    <cfRule type="cellIs" dxfId="183" priority="175" stopIfTrue="1" operator="lessThan">
      <formula>0</formula>
    </cfRule>
  </conditionalFormatting>
  <conditionalFormatting sqref="DO82">
    <cfRule type="cellIs" dxfId="182" priority="174" stopIfTrue="1" operator="lessThan">
      <formula>0</formula>
    </cfRule>
  </conditionalFormatting>
  <conditionalFormatting sqref="DU81">
    <cfRule type="cellIs" dxfId="181" priority="173" stopIfTrue="1" operator="lessThan">
      <formula>0</formula>
    </cfRule>
  </conditionalFormatting>
  <conditionalFormatting sqref="DU82">
    <cfRule type="cellIs" dxfId="180" priority="172" stopIfTrue="1" operator="lessThan">
      <formula>0</formula>
    </cfRule>
  </conditionalFormatting>
  <conditionalFormatting sqref="DU82">
    <cfRule type="cellIs" dxfId="179" priority="171" stopIfTrue="1" operator="lessThan">
      <formula>0</formula>
    </cfRule>
  </conditionalFormatting>
  <conditionalFormatting sqref="DP82">
    <cfRule type="cellIs" dxfId="178" priority="170" stopIfTrue="1" operator="lessThan">
      <formula>0</formula>
    </cfRule>
  </conditionalFormatting>
  <conditionalFormatting sqref="DP82">
    <cfRule type="cellIs" dxfId="177" priority="169" stopIfTrue="1" operator="lessThan">
      <formula>0</formula>
    </cfRule>
  </conditionalFormatting>
  <conditionalFormatting sqref="DM82">
    <cfRule type="cellIs" dxfId="176" priority="168" stopIfTrue="1" operator="lessThan">
      <formula>0</formula>
    </cfRule>
  </conditionalFormatting>
  <conditionalFormatting sqref="DM82">
    <cfRule type="cellIs" dxfId="175" priority="167" stopIfTrue="1" operator="lessThan">
      <formula>0</formula>
    </cfRule>
  </conditionalFormatting>
  <conditionalFormatting sqref="DT81:DT84">
    <cfRule type="cellIs" dxfId="174" priority="166" stopIfTrue="1" operator="lessThan">
      <formula>0</formula>
    </cfRule>
  </conditionalFormatting>
  <conditionalFormatting sqref="DV82">
    <cfRule type="cellIs" dxfId="173" priority="165" stopIfTrue="1" operator="lessThan">
      <formula>0</formula>
    </cfRule>
  </conditionalFormatting>
  <conditionalFormatting sqref="DV82">
    <cfRule type="cellIs" dxfId="172" priority="164" stopIfTrue="1" operator="lessThan">
      <formula>0</formula>
    </cfRule>
  </conditionalFormatting>
  <conditionalFormatting sqref="EA82">
    <cfRule type="cellIs" dxfId="171" priority="163" stopIfTrue="1" operator="lessThan">
      <formula>0</formula>
    </cfRule>
  </conditionalFormatting>
  <conditionalFormatting sqref="EA82">
    <cfRule type="cellIs" dxfId="170" priority="162" stopIfTrue="1" operator="lessThan">
      <formula>0</formula>
    </cfRule>
  </conditionalFormatting>
  <conditionalFormatting sqref="EA81">
    <cfRule type="cellIs" dxfId="169" priority="161" stopIfTrue="1" operator="lessThan">
      <formula>0</formula>
    </cfRule>
  </conditionalFormatting>
  <conditionalFormatting sqref="EB82">
    <cfRule type="cellIs" dxfId="168" priority="160" stopIfTrue="1" operator="lessThan">
      <formula>0</formula>
    </cfRule>
  </conditionalFormatting>
  <conditionalFormatting sqref="EB82">
    <cfRule type="cellIs" dxfId="167" priority="159" stopIfTrue="1" operator="lessThan">
      <formula>0</formula>
    </cfRule>
  </conditionalFormatting>
  <conditionalFormatting sqref="EG82">
    <cfRule type="cellIs" dxfId="166" priority="158" stopIfTrue="1" operator="lessThan">
      <formula>0</formula>
    </cfRule>
  </conditionalFormatting>
  <conditionalFormatting sqref="EG82">
    <cfRule type="cellIs" dxfId="165" priority="157" stopIfTrue="1" operator="lessThan">
      <formula>0</formula>
    </cfRule>
  </conditionalFormatting>
  <conditionalFormatting sqref="EH82">
    <cfRule type="cellIs" dxfId="164" priority="156" stopIfTrue="1" operator="lessThan">
      <formula>0</formula>
    </cfRule>
  </conditionalFormatting>
  <conditionalFormatting sqref="EH82">
    <cfRule type="cellIs" dxfId="163" priority="155" stopIfTrue="1" operator="lessThan">
      <formula>0</formula>
    </cfRule>
  </conditionalFormatting>
  <conditionalFormatting sqref="EG81">
    <cfRule type="cellIs" dxfId="162" priority="154" stopIfTrue="1" operator="lessThan">
      <formula>0</formula>
    </cfRule>
  </conditionalFormatting>
  <conditionalFormatting sqref="EG81">
    <cfRule type="cellIs" dxfId="161" priority="153" stopIfTrue="1" operator="lessThan">
      <formula>0</formula>
    </cfRule>
  </conditionalFormatting>
  <conditionalFormatting sqref="EM81">
    <cfRule type="cellIs" dxfId="160" priority="152" stopIfTrue="1" operator="lessThan">
      <formula>0</formula>
    </cfRule>
  </conditionalFormatting>
  <conditionalFormatting sqref="EN82">
    <cfRule type="cellIs" dxfId="159" priority="150" stopIfTrue="1" operator="lessThan">
      <formula>0</formula>
    </cfRule>
  </conditionalFormatting>
  <conditionalFormatting sqref="EN82">
    <cfRule type="cellIs" dxfId="158" priority="149" stopIfTrue="1" operator="lessThan">
      <formula>0</formula>
    </cfRule>
  </conditionalFormatting>
  <conditionalFormatting sqref="ES81">
    <cfRule type="cellIs" dxfId="157" priority="148" stopIfTrue="1" operator="lessThan">
      <formula>0</formula>
    </cfRule>
  </conditionalFormatting>
  <conditionalFormatting sqref="ES82">
    <cfRule type="cellIs" dxfId="156" priority="147" stopIfTrue="1" operator="lessThan">
      <formula>0</formula>
    </cfRule>
  </conditionalFormatting>
  <conditionalFormatting sqref="ES82">
    <cfRule type="cellIs" dxfId="155" priority="146" stopIfTrue="1" operator="lessThan">
      <formula>0</formula>
    </cfRule>
  </conditionalFormatting>
  <conditionalFormatting sqref="EM82">
    <cfRule type="cellIs" dxfId="154" priority="145" stopIfTrue="1" operator="lessThan">
      <formula>0</formula>
    </cfRule>
  </conditionalFormatting>
  <conditionalFormatting sqref="EM82">
    <cfRule type="cellIs" dxfId="153" priority="144" stopIfTrue="1" operator="lessThan">
      <formula>0</formula>
    </cfRule>
  </conditionalFormatting>
  <conditionalFormatting sqref="ET82">
    <cfRule type="cellIs" dxfId="152" priority="142" stopIfTrue="1" operator="lessThan">
      <formula>0</formula>
    </cfRule>
  </conditionalFormatting>
  <conditionalFormatting sqref="BS83">
    <cfRule type="cellIs" dxfId="151" priority="141" stopIfTrue="1" operator="lessThan">
      <formula>0</formula>
    </cfRule>
  </conditionalFormatting>
  <conditionalFormatting sqref="BY83">
    <cfRule type="cellIs" dxfId="150" priority="140" stopIfTrue="1" operator="lessThan">
      <formula>0</formula>
    </cfRule>
  </conditionalFormatting>
  <conditionalFormatting sqref="CE83">
    <cfRule type="cellIs" dxfId="149" priority="139" stopIfTrue="1" operator="lessThan">
      <formula>0</formula>
    </cfRule>
  </conditionalFormatting>
  <conditionalFormatting sqref="CK83">
    <cfRule type="cellIs" dxfId="148" priority="138" stopIfTrue="1" operator="lessThan">
      <formula>0</formula>
    </cfRule>
  </conditionalFormatting>
  <conditionalFormatting sqref="BO83:BQ83">
    <cfRule type="cellIs" dxfId="147" priority="137" stopIfTrue="1" operator="lessThan">
      <formula>0</formula>
    </cfRule>
  </conditionalFormatting>
  <conditionalFormatting sqref="BR83:BR84">
    <cfRule type="cellIs" dxfId="146" priority="136" stopIfTrue="1" operator="lessThan">
      <formula>0</formula>
    </cfRule>
  </conditionalFormatting>
  <conditionalFormatting sqref="BO83:BP83">
    <cfRule type="cellIs" dxfId="145" priority="135" stopIfTrue="1" operator="lessThan">
      <formula>0</formula>
    </cfRule>
  </conditionalFormatting>
  <conditionalFormatting sqref="BQ83">
    <cfRule type="cellIs" dxfId="144" priority="134" stopIfTrue="1" operator="lessThan">
      <formula>0</formula>
    </cfRule>
  </conditionalFormatting>
  <conditionalFormatting sqref="BT83">
    <cfRule type="cellIs" dxfId="143" priority="133" stopIfTrue="1" operator="lessThan">
      <formula>0</formula>
    </cfRule>
  </conditionalFormatting>
  <conditionalFormatting sqref="BU83:BW83">
    <cfRule type="cellIs" dxfId="142" priority="132" stopIfTrue="1" operator="lessThan">
      <formula>0</formula>
    </cfRule>
  </conditionalFormatting>
  <conditionalFormatting sqref="BX83:BX84">
    <cfRule type="cellIs" dxfId="141" priority="131" stopIfTrue="1" operator="lessThan">
      <formula>0</formula>
    </cfRule>
  </conditionalFormatting>
  <conditionalFormatting sqref="BU83:BV83">
    <cfRule type="cellIs" dxfId="140" priority="130" stopIfTrue="1" operator="lessThan">
      <formula>0</formula>
    </cfRule>
  </conditionalFormatting>
  <conditionalFormatting sqref="BW83">
    <cfRule type="cellIs" dxfId="139" priority="129" stopIfTrue="1" operator="lessThan">
      <formula>0</formula>
    </cfRule>
  </conditionalFormatting>
  <conditionalFormatting sqref="BZ83:CC83">
    <cfRule type="cellIs" dxfId="138" priority="128" stopIfTrue="1" operator="lessThan">
      <formula>0</formula>
    </cfRule>
  </conditionalFormatting>
  <conditionalFormatting sqref="CD83:CD84">
    <cfRule type="cellIs" dxfId="137" priority="127" stopIfTrue="1" operator="lessThan">
      <formula>0</formula>
    </cfRule>
  </conditionalFormatting>
  <conditionalFormatting sqref="CA83:CB83">
    <cfRule type="cellIs" dxfId="136" priority="126" stopIfTrue="1" operator="lessThan">
      <formula>0</formula>
    </cfRule>
  </conditionalFormatting>
  <conditionalFormatting sqref="BZ83">
    <cfRule type="cellIs" dxfId="135" priority="125" stopIfTrue="1" operator="lessThan">
      <formula>0</formula>
    </cfRule>
  </conditionalFormatting>
  <conditionalFormatting sqref="CC83">
    <cfRule type="cellIs" dxfId="134" priority="124" stopIfTrue="1" operator="lessThan">
      <formula>0</formula>
    </cfRule>
  </conditionalFormatting>
  <conditionalFormatting sqref="CF83">
    <cfRule type="cellIs" dxfId="133" priority="123" stopIfTrue="1" operator="lessThan">
      <formula>0</formula>
    </cfRule>
  </conditionalFormatting>
  <conditionalFormatting sqref="CJ83:CJ84">
    <cfRule type="cellIs" dxfId="132" priority="122" stopIfTrue="1" operator="lessThan">
      <formula>0</formula>
    </cfRule>
  </conditionalFormatting>
  <conditionalFormatting sqref="CG83:CI83">
    <cfRule type="cellIs" dxfId="131" priority="121" stopIfTrue="1" operator="lessThan">
      <formula>0</formula>
    </cfRule>
  </conditionalFormatting>
  <conditionalFormatting sqref="CG83:CI83">
    <cfRule type="cellIs" dxfId="130" priority="120" stopIfTrue="1" operator="lessThan">
      <formula>0</formula>
    </cfRule>
  </conditionalFormatting>
  <conditionalFormatting sqref="CF83">
    <cfRule type="cellIs" dxfId="129" priority="119" stopIfTrue="1" operator="lessThan">
      <formula>0</formula>
    </cfRule>
  </conditionalFormatting>
  <conditionalFormatting sqref="CM83:CN83">
    <cfRule type="cellIs" dxfId="128" priority="118" stopIfTrue="1" operator="lessThan">
      <formula>0</formula>
    </cfRule>
  </conditionalFormatting>
  <conditionalFormatting sqref="CM83:CN83">
    <cfRule type="cellIs" dxfId="127" priority="117" stopIfTrue="1" operator="lessThan">
      <formula>0</formula>
    </cfRule>
  </conditionalFormatting>
  <conditionalFormatting sqref="CL83">
    <cfRule type="cellIs" dxfId="126" priority="116" stopIfTrue="1" operator="lessThan">
      <formula>0</formula>
    </cfRule>
  </conditionalFormatting>
  <conditionalFormatting sqref="CL83">
    <cfRule type="cellIs" dxfId="125" priority="115" stopIfTrue="1" operator="lessThan">
      <formula>0</formula>
    </cfRule>
  </conditionalFormatting>
  <conditionalFormatting sqref="CO83">
    <cfRule type="cellIs" dxfId="124" priority="114" stopIfTrue="1" operator="lessThan">
      <formula>0</formula>
    </cfRule>
  </conditionalFormatting>
  <conditionalFormatting sqref="CO83">
    <cfRule type="cellIs" dxfId="123" priority="113" stopIfTrue="1" operator="lessThan">
      <formula>0</formula>
    </cfRule>
  </conditionalFormatting>
  <conditionalFormatting sqref="CQ83">
    <cfRule type="cellIs" dxfId="122" priority="112" stopIfTrue="1" operator="lessThan">
      <formula>0</formula>
    </cfRule>
  </conditionalFormatting>
  <conditionalFormatting sqref="CR82">
    <cfRule type="cellIs" dxfId="121" priority="111" stopIfTrue="1" operator="lessThan">
      <formula>0</formula>
    </cfRule>
  </conditionalFormatting>
  <conditionalFormatting sqref="CR82">
    <cfRule type="cellIs" dxfId="120" priority="110" stopIfTrue="1" operator="lessThan">
      <formula>0</formula>
    </cfRule>
  </conditionalFormatting>
  <conditionalFormatting sqref="CV83">
    <cfRule type="cellIs" dxfId="119" priority="109" stopIfTrue="1" operator="lessThan">
      <formula>0</formula>
    </cfRule>
  </conditionalFormatting>
  <conditionalFormatting sqref="CS83:CU83">
    <cfRule type="cellIs" dxfId="118" priority="108" stopIfTrue="1" operator="lessThan">
      <formula>0</formula>
    </cfRule>
  </conditionalFormatting>
  <conditionalFormatting sqref="CS83:CU83">
    <cfRule type="cellIs" dxfId="117" priority="107" stopIfTrue="1" operator="lessThan">
      <formula>0</formula>
    </cfRule>
  </conditionalFormatting>
  <conditionalFormatting sqref="CR83">
    <cfRule type="cellIs" dxfId="116" priority="106" stopIfTrue="1" operator="lessThan">
      <formula>0</formula>
    </cfRule>
  </conditionalFormatting>
  <conditionalFormatting sqref="CR83">
    <cfRule type="cellIs" dxfId="115" priority="105" stopIfTrue="1" operator="lessThan">
      <formula>0</formula>
    </cfRule>
  </conditionalFormatting>
  <conditionalFormatting sqref="CW83">
    <cfRule type="cellIs" dxfId="114" priority="104" stopIfTrue="1" operator="lessThan">
      <formula>0</formula>
    </cfRule>
  </conditionalFormatting>
  <conditionalFormatting sqref="CW83">
    <cfRule type="cellIs" dxfId="113" priority="103" stopIfTrue="1" operator="lessThan">
      <formula>0</formula>
    </cfRule>
  </conditionalFormatting>
  <conditionalFormatting sqref="DC83">
    <cfRule type="cellIs" dxfId="112" priority="102" stopIfTrue="1" operator="lessThan">
      <formula>0</formula>
    </cfRule>
  </conditionalFormatting>
  <conditionalFormatting sqref="DC83">
    <cfRule type="cellIs" dxfId="111" priority="101" stopIfTrue="1" operator="lessThan">
      <formula>0</formula>
    </cfRule>
  </conditionalFormatting>
  <conditionalFormatting sqref="DB83">
    <cfRule type="cellIs" dxfId="110" priority="100" stopIfTrue="1" operator="lessThan">
      <formula>0</formula>
    </cfRule>
  </conditionalFormatting>
  <conditionalFormatting sqref="CY83:DA83">
    <cfRule type="cellIs" dxfId="109" priority="99" stopIfTrue="1" operator="lessThan">
      <formula>0</formula>
    </cfRule>
  </conditionalFormatting>
  <conditionalFormatting sqref="CY83:DA83">
    <cfRule type="cellIs" dxfId="108" priority="98" stopIfTrue="1" operator="lessThan">
      <formula>0</formula>
    </cfRule>
  </conditionalFormatting>
  <conditionalFormatting sqref="CX83">
    <cfRule type="cellIs" dxfId="107" priority="97" stopIfTrue="1" operator="lessThan">
      <formula>0</formula>
    </cfRule>
  </conditionalFormatting>
  <conditionalFormatting sqref="CX83">
    <cfRule type="cellIs" dxfId="106" priority="96" stopIfTrue="1" operator="lessThan">
      <formula>0</formula>
    </cfRule>
  </conditionalFormatting>
  <conditionalFormatting sqref="DH83">
    <cfRule type="cellIs" dxfId="105" priority="95" stopIfTrue="1" operator="lessThan">
      <formula>0</formula>
    </cfRule>
  </conditionalFormatting>
  <conditionalFormatting sqref="DE83:DG83">
    <cfRule type="cellIs" dxfId="104" priority="94" stopIfTrue="1" operator="lessThan">
      <formula>0</formula>
    </cfRule>
  </conditionalFormatting>
  <conditionalFormatting sqref="DE83:DG83">
    <cfRule type="cellIs" dxfId="103" priority="93" stopIfTrue="1" operator="lessThan">
      <formula>0</formula>
    </cfRule>
  </conditionalFormatting>
  <conditionalFormatting sqref="DD83">
    <cfRule type="cellIs" dxfId="102" priority="92" stopIfTrue="1" operator="lessThan">
      <formula>0</formula>
    </cfRule>
  </conditionalFormatting>
  <conditionalFormatting sqref="DD83">
    <cfRule type="cellIs" dxfId="101" priority="91" stopIfTrue="1" operator="lessThan">
      <formula>0</formula>
    </cfRule>
  </conditionalFormatting>
  <conditionalFormatting sqref="DI83">
    <cfRule type="cellIs" dxfId="100" priority="90" stopIfTrue="1" operator="lessThan">
      <formula>0</formula>
    </cfRule>
  </conditionalFormatting>
  <conditionalFormatting sqref="DI83">
    <cfRule type="cellIs" dxfId="99" priority="89" stopIfTrue="1" operator="lessThan">
      <formula>0</formula>
    </cfRule>
  </conditionalFormatting>
  <conditionalFormatting sqref="DO83">
    <cfRule type="cellIs" dxfId="98" priority="88" stopIfTrue="1" operator="lessThan">
      <formula>0</formula>
    </cfRule>
  </conditionalFormatting>
  <conditionalFormatting sqref="DO83">
    <cfRule type="cellIs" dxfId="97" priority="87" stopIfTrue="1" operator="lessThan">
      <formula>0</formula>
    </cfRule>
  </conditionalFormatting>
  <conditionalFormatting sqref="DN83">
    <cfRule type="cellIs" dxfId="96" priority="86" stopIfTrue="1" operator="lessThan">
      <formula>0</formula>
    </cfRule>
  </conditionalFormatting>
  <conditionalFormatting sqref="DK83:DL83">
    <cfRule type="cellIs" dxfId="95" priority="85" stopIfTrue="1" operator="lessThan">
      <formula>0</formula>
    </cfRule>
  </conditionalFormatting>
  <conditionalFormatting sqref="DK83:DL83">
    <cfRule type="cellIs" dxfId="94" priority="84" stopIfTrue="1" operator="lessThan">
      <formula>0</formula>
    </cfRule>
  </conditionalFormatting>
  <conditionalFormatting sqref="DM83">
    <cfRule type="cellIs" dxfId="93" priority="83" stopIfTrue="1" operator="lessThan">
      <formula>0</formula>
    </cfRule>
  </conditionalFormatting>
  <conditionalFormatting sqref="DM83">
    <cfRule type="cellIs" dxfId="92" priority="82" stopIfTrue="1" operator="lessThan">
      <formula>0</formula>
    </cfRule>
  </conditionalFormatting>
  <conditionalFormatting sqref="DJ83">
    <cfRule type="cellIs" dxfId="91" priority="81" stopIfTrue="1" operator="lessThan">
      <formula>0</formula>
    </cfRule>
  </conditionalFormatting>
  <conditionalFormatting sqref="DJ83">
    <cfRule type="cellIs" dxfId="90" priority="80" stopIfTrue="1" operator="lessThan">
      <formula>0</formula>
    </cfRule>
  </conditionalFormatting>
  <conditionalFormatting sqref="DQ83:DS83">
    <cfRule type="cellIs" dxfId="89" priority="79" stopIfTrue="1" operator="lessThan">
      <formula>0</formula>
    </cfRule>
  </conditionalFormatting>
  <conditionalFormatting sqref="DQ83:DS83">
    <cfRule type="cellIs" dxfId="88" priority="78" stopIfTrue="1" operator="lessThan">
      <formula>0</formula>
    </cfRule>
  </conditionalFormatting>
  <conditionalFormatting sqref="DU83">
    <cfRule type="cellIs" dxfId="87" priority="77" stopIfTrue="1" operator="lessThan">
      <formula>0</formula>
    </cfRule>
  </conditionalFormatting>
  <conditionalFormatting sqref="DU83">
    <cfRule type="cellIs" dxfId="86" priority="76" stopIfTrue="1" operator="lessThan">
      <formula>0</formula>
    </cfRule>
  </conditionalFormatting>
  <conditionalFormatting sqref="DP83">
    <cfRule type="cellIs" dxfId="85" priority="75" stopIfTrue="1" operator="lessThan">
      <formula>0</formula>
    </cfRule>
  </conditionalFormatting>
  <conditionalFormatting sqref="DP83">
    <cfRule type="cellIs" dxfId="84" priority="74" stopIfTrue="1" operator="lessThan">
      <formula>0</formula>
    </cfRule>
  </conditionalFormatting>
  <conditionalFormatting sqref="DV83">
    <cfRule type="cellIs" dxfId="83" priority="72" stopIfTrue="1" operator="lessThan">
      <formula>0</formula>
    </cfRule>
  </conditionalFormatting>
  <conditionalFormatting sqref="DV83">
    <cfRule type="cellIs" dxfId="82" priority="71" stopIfTrue="1" operator="lessThan">
      <formula>0</formula>
    </cfRule>
  </conditionalFormatting>
  <conditionalFormatting sqref="DZ83">
    <cfRule type="cellIs" dxfId="81" priority="70" stopIfTrue="1" operator="lessThan">
      <formula>0</formula>
    </cfRule>
  </conditionalFormatting>
  <conditionalFormatting sqref="DW83:DY83">
    <cfRule type="cellIs" dxfId="80" priority="69" stopIfTrue="1" operator="lessThan">
      <formula>0</formula>
    </cfRule>
  </conditionalFormatting>
  <conditionalFormatting sqref="DW83:DY83">
    <cfRule type="cellIs" dxfId="79" priority="68" stopIfTrue="1" operator="lessThan">
      <formula>0</formula>
    </cfRule>
  </conditionalFormatting>
  <conditionalFormatting sqref="EA83">
    <cfRule type="cellIs" dxfId="78" priority="67" stopIfTrue="1" operator="lessThan">
      <formula>0</formula>
    </cfRule>
  </conditionalFormatting>
  <conditionalFormatting sqref="EA83">
    <cfRule type="cellIs" dxfId="77" priority="66" stopIfTrue="1" operator="lessThan">
      <formula>0</formula>
    </cfRule>
  </conditionalFormatting>
  <conditionalFormatting sqref="EB83">
    <cfRule type="cellIs" dxfId="76" priority="65" stopIfTrue="1" operator="lessThan">
      <formula>0</formula>
    </cfRule>
  </conditionalFormatting>
  <conditionalFormatting sqref="EB83">
    <cfRule type="cellIs" dxfId="75" priority="64" stopIfTrue="1" operator="lessThan">
      <formula>0</formula>
    </cfRule>
  </conditionalFormatting>
  <conditionalFormatting sqref="EF83">
    <cfRule type="cellIs" dxfId="74" priority="63" stopIfTrue="1" operator="lessThan">
      <formula>0</formula>
    </cfRule>
  </conditionalFormatting>
  <conditionalFormatting sqref="EC83:EE83">
    <cfRule type="cellIs" dxfId="73" priority="62" stopIfTrue="1" operator="lessThan">
      <formula>0</formula>
    </cfRule>
  </conditionalFormatting>
  <conditionalFormatting sqref="EC83:EE83">
    <cfRule type="cellIs" dxfId="72" priority="61" stopIfTrue="1" operator="lessThan">
      <formula>0</formula>
    </cfRule>
  </conditionalFormatting>
  <conditionalFormatting sqref="EG83">
    <cfRule type="cellIs" dxfId="71" priority="60" stopIfTrue="1" operator="lessThan">
      <formula>0</formula>
    </cfRule>
  </conditionalFormatting>
  <conditionalFormatting sqref="EG83">
    <cfRule type="cellIs" dxfId="70" priority="59" stopIfTrue="1" operator="lessThan">
      <formula>0</formula>
    </cfRule>
  </conditionalFormatting>
  <conditionalFormatting sqref="EH83">
    <cfRule type="cellIs" dxfId="69" priority="58" stopIfTrue="1" operator="lessThan">
      <formula>0</formula>
    </cfRule>
  </conditionalFormatting>
  <conditionalFormatting sqref="EH83">
    <cfRule type="cellIs" dxfId="68" priority="57" stopIfTrue="1" operator="lessThan">
      <formula>0</formula>
    </cfRule>
  </conditionalFormatting>
  <conditionalFormatting sqref="EL83">
    <cfRule type="cellIs" dxfId="67" priority="56" stopIfTrue="1" operator="lessThan">
      <formula>0</formula>
    </cfRule>
  </conditionalFormatting>
  <conditionalFormatting sqref="EI83:EK83">
    <cfRule type="cellIs" dxfId="66" priority="55" stopIfTrue="1" operator="lessThan">
      <formula>0</formula>
    </cfRule>
  </conditionalFormatting>
  <conditionalFormatting sqref="EI83:EK83">
    <cfRule type="cellIs" dxfId="65" priority="54" stopIfTrue="1" operator="lessThan">
      <formula>0</formula>
    </cfRule>
  </conditionalFormatting>
  <conditionalFormatting sqref="EN83">
    <cfRule type="cellIs" dxfId="64" priority="53" stopIfTrue="1" operator="lessThan">
      <formula>0</formula>
    </cfRule>
  </conditionalFormatting>
  <conditionalFormatting sqref="EN83">
    <cfRule type="cellIs" dxfId="63" priority="52" stopIfTrue="1" operator="lessThan">
      <formula>0</formula>
    </cfRule>
  </conditionalFormatting>
  <conditionalFormatting sqref="EM83">
    <cfRule type="cellIs" dxfId="62" priority="51" stopIfTrue="1" operator="lessThan">
      <formula>0</formula>
    </cfRule>
  </conditionalFormatting>
  <conditionalFormatting sqref="EM83">
    <cfRule type="cellIs" dxfId="61" priority="50" stopIfTrue="1" operator="lessThan">
      <formula>0</formula>
    </cfRule>
  </conditionalFormatting>
  <conditionalFormatting sqref="EO83:EQ83">
    <cfRule type="cellIs" dxfId="60" priority="49" stopIfTrue="1" operator="lessThan">
      <formula>0</formula>
    </cfRule>
  </conditionalFormatting>
  <conditionalFormatting sqref="EO83:EQ83">
    <cfRule type="cellIs" dxfId="59" priority="48" stopIfTrue="1" operator="lessThan">
      <formula>0</formula>
    </cfRule>
  </conditionalFormatting>
  <conditionalFormatting sqref="ES83">
    <cfRule type="cellIs" dxfId="58" priority="47" stopIfTrue="1" operator="lessThan">
      <formula>0</formula>
    </cfRule>
  </conditionalFormatting>
  <conditionalFormatting sqref="ES83">
    <cfRule type="cellIs" dxfId="57" priority="46" stopIfTrue="1" operator="lessThan">
      <formula>0</formula>
    </cfRule>
  </conditionalFormatting>
  <conditionalFormatting sqref="ET83">
    <cfRule type="cellIs" dxfId="56" priority="44" stopIfTrue="1" operator="lessThan">
      <formula>0</formula>
    </cfRule>
  </conditionalFormatting>
  <conditionalFormatting sqref="ER82:ER83">
    <cfRule type="cellIs" dxfId="55" priority="42" stopIfTrue="1" operator="lessThan">
      <formula>0</formula>
    </cfRule>
  </conditionalFormatting>
  <conditionalFormatting sqref="ER82:ER83">
    <cfRule type="cellIs" dxfId="54" priority="41" stopIfTrue="1" operator="lessThan">
      <formula>0</formula>
    </cfRule>
  </conditionalFormatting>
  <conditionalFormatting sqref="EU82:EW82">
    <cfRule type="cellIs" dxfId="53" priority="38" stopIfTrue="1" operator="lessThan">
      <formula>0</formula>
    </cfRule>
  </conditionalFormatting>
  <conditionalFormatting sqref="EU82:EW82">
    <cfRule type="cellIs" dxfId="52" priority="37" stopIfTrue="1" operator="lessThan">
      <formula>0</formula>
    </cfRule>
  </conditionalFormatting>
  <conditionalFormatting sqref="EU83:EW83">
    <cfRule type="cellIs" dxfId="51" priority="36" stopIfTrue="1" operator="lessThan">
      <formula>0</formula>
    </cfRule>
  </conditionalFormatting>
  <conditionalFormatting sqref="EU83:EW83">
    <cfRule type="cellIs" dxfId="50" priority="35" stopIfTrue="1" operator="lessThan">
      <formula>0</formula>
    </cfRule>
  </conditionalFormatting>
  <conditionalFormatting sqref="EX82:EX83">
    <cfRule type="cellIs" dxfId="49" priority="34" stopIfTrue="1" operator="lessThan">
      <formula>0</formula>
    </cfRule>
  </conditionalFormatting>
  <conditionalFormatting sqref="EX82:EX83">
    <cfRule type="cellIs" dxfId="48" priority="33" stopIfTrue="1" operator="lessThan">
      <formula>0</formula>
    </cfRule>
  </conditionalFormatting>
  <conditionalFormatting sqref="EY82">
    <cfRule type="cellIs" dxfId="47" priority="32" stopIfTrue="1" operator="lessThan">
      <formula>0</formula>
    </cfRule>
  </conditionalFormatting>
  <conditionalFormatting sqref="EY82">
    <cfRule type="cellIs" dxfId="46" priority="31" stopIfTrue="1" operator="lessThan">
      <formula>0</formula>
    </cfRule>
  </conditionalFormatting>
  <conditionalFormatting sqref="EY83">
    <cfRule type="cellIs" dxfId="45" priority="30" stopIfTrue="1" operator="lessThan">
      <formula>0</formula>
    </cfRule>
  </conditionalFormatting>
  <conditionalFormatting sqref="EY83">
    <cfRule type="cellIs" dxfId="44" priority="29" stopIfTrue="1" operator="lessThan">
      <formula>0</formula>
    </cfRule>
  </conditionalFormatting>
  <conditionalFormatting sqref="EZ82:EZ84">
    <cfRule type="cellIs" dxfId="43" priority="28" stopIfTrue="1" operator="lessThan">
      <formula>0</formula>
    </cfRule>
  </conditionalFormatting>
  <conditionalFormatting sqref="EZ82:EZ84">
    <cfRule type="cellIs" dxfId="42" priority="27" stopIfTrue="1" operator="lessThan">
      <formula>0</formula>
    </cfRule>
  </conditionalFormatting>
  <conditionalFormatting sqref="BT84">
    <cfRule type="cellIs" dxfId="41" priority="26" stopIfTrue="1" operator="lessThan">
      <formula>0</formula>
    </cfRule>
  </conditionalFormatting>
  <conditionalFormatting sqref="CG84:CI84 CK84:CL84">
    <cfRule type="cellIs" dxfId="40" priority="25" stopIfTrue="1" operator="lessThan">
      <formula>0</formula>
    </cfRule>
  </conditionalFormatting>
  <conditionalFormatting sqref="EZ85:EZ142">
    <cfRule type="cellIs" dxfId="39" priority="1" stopIfTrue="1" operator="lessThan">
      <formula>0</formula>
    </cfRule>
  </conditionalFormatting>
  <conditionalFormatting sqref="CP84">
    <cfRule type="cellIs" dxfId="38" priority="23" stopIfTrue="1" operator="lessThan">
      <formula>0</formula>
    </cfRule>
  </conditionalFormatting>
  <conditionalFormatting sqref="CM84:CO84 CQ84:CR84">
    <cfRule type="cellIs" dxfId="37" priority="22" stopIfTrue="1" operator="lessThan">
      <formula>0</formula>
    </cfRule>
  </conditionalFormatting>
  <conditionalFormatting sqref="CV84">
    <cfRule type="cellIs" dxfId="36" priority="21" stopIfTrue="1" operator="lessThan">
      <formula>0</formula>
    </cfRule>
  </conditionalFormatting>
  <conditionalFormatting sqref="CS84:CU84 CW84:CX84">
    <cfRule type="cellIs" dxfId="35" priority="20" stopIfTrue="1" operator="lessThan">
      <formula>0</formula>
    </cfRule>
  </conditionalFormatting>
  <conditionalFormatting sqref="DB84">
    <cfRule type="cellIs" dxfId="34" priority="19" stopIfTrue="1" operator="lessThan">
      <formula>0</formula>
    </cfRule>
  </conditionalFormatting>
  <conditionalFormatting sqref="CY84:DA84 DC84:DD84">
    <cfRule type="cellIs" dxfId="33" priority="18" stopIfTrue="1" operator="lessThan">
      <formula>0</formula>
    </cfRule>
  </conditionalFormatting>
  <conditionalFormatting sqref="DH84">
    <cfRule type="cellIs" dxfId="32" priority="17" stopIfTrue="1" operator="lessThan">
      <formula>0</formula>
    </cfRule>
  </conditionalFormatting>
  <conditionalFormatting sqref="DE84:DG84 DI84:DJ84">
    <cfRule type="cellIs" dxfId="31" priority="16" stopIfTrue="1" operator="lessThan">
      <formula>0</formula>
    </cfRule>
  </conditionalFormatting>
  <conditionalFormatting sqref="DQ84:DS84 DU84:DV84">
    <cfRule type="cellIs" dxfId="29" priority="14" stopIfTrue="1" operator="lessThan">
      <formula>0</formula>
    </cfRule>
  </conditionalFormatting>
  <conditionalFormatting sqref="DZ84">
    <cfRule type="cellIs" dxfId="28" priority="13" stopIfTrue="1" operator="lessThan">
      <formula>0</formula>
    </cfRule>
  </conditionalFormatting>
  <conditionalFormatting sqref="DW84:DY84 EA84:EB84">
    <cfRule type="cellIs" dxfId="27" priority="12" stopIfTrue="1" operator="lessThan">
      <formula>0</formula>
    </cfRule>
  </conditionalFormatting>
  <conditionalFormatting sqref="EF84">
    <cfRule type="cellIs" dxfId="26" priority="11" stopIfTrue="1" operator="lessThan">
      <formula>0</formula>
    </cfRule>
  </conditionalFormatting>
  <conditionalFormatting sqref="EC84:EE84 EG84:EH84">
    <cfRule type="cellIs" dxfId="25" priority="10" stopIfTrue="1" operator="lessThan">
      <formula>0</formula>
    </cfRule>
  </conditionalFormatting>
  <conditionalFormatting sqref="EL84">
    <cfRule type="cellIs" dxfId="24" priority="9" stopIfTrue="1" operator="lessThan">
      <formula>0</formula>
    </cfRule>
  </conditionalFormatting>
  <conditionalFormatting sqref="EI84:EK84 EM84:EN84">
    <cfRule type="cellIs" dxfId="23" priority="8" stopIfTrue="1" operator="lessThan">
      <formula>0</formula>
    </cfRule>
  </conditionalFormatting>
  <conditionalFormatting sqref="ER84">
    <cfRule type="cellIs" dxfId="22" priority="7" stopIfTrue="1" operator="lessThan">
      <formula>0</formula>
    </cfRule>
  </conditionalFormatting>
  <conditionalFormatting sqref="EO84:EQ84 ES84:ET84">
    <cfRule type="cellIs" dxfId="21" priority="6" stopIfTrue="1" operator="lessThan">
      <formula>0</formula>
    </cfRule>
  </conditionalFormatting>
  <conditionalFormatting sqref="EX84">
    <cfRule type="cellIs" dxfId="20" priority="5" stopIfTrue="1" operator="lessThan">
      <formula>0</formula>
    </cfRule>
  </conditionalFormatting>
  <conditionalFormatting sqref="EU84:EW84 EY84">
    <cfRule type="cellIs" dxfId="19" priority="4" stopIfTrue="1" operator="lessThan">
      <formula>0</formula>
    </cfRule>
  </conditionalFormatting>
  <printOptions horizontalCentered="1" verticalCentered="1" gridLinesSet="0"/>
  <pageMargins left="0.19685039370078741" right="0.15748031496062992" top="0.55118110236220474" bottom="0.55118110236220474" header="0.51181102362204722" footer="0.51181102362204722"/>
  <pageSetup fitToWidth="2" pageOrder="overThenDown" orientation="landscape" horizontalDpi="300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1"/>
  <sheetViews>
    <sheetView workbookViewId="0">
      <pane xSplit="2" ySplit="6" topLeftCell="C31" activePane="bottomRight" state="frozen"/>
      <selection pane="topRight" activeCell="C1" sqref="C1"/>
      <selection pane="bottomLeft" activeCell="A7" sqref="A7"/>
      <selection pane="bottomRight" activeCell="Y36" sqref="Y36"/>
    </sheetView>
  </sheetViews>
  <sheetFormatPr baseColWidth="10" defaultColWidth="5" defaultRowHeight="12.75" x14ac:dyDescent="0.2"/>
  <cols>
    <col min="2" max="2" width="12.28515625" customWidth="1"/>
    <col min="3" max="11" width="5" customWidth="1"/>
    <col min="12" max="12" width="5" style="273" customWidth="1"/>
    <col min="13" max="27" width="5" customWidth="1"/>
    <col min="28" max="28" width="5" bestFit="1" customWidth="1"/>
    <col min="29" max="29" width="5" customWidth="1"/>
    <col min="30" max="30" width="5.42578125" customWidth="1"/>
    <col min="31" max="31" width="12.5703125" customWidth="1"/>
  </cols>
  <sheetData>
    <row r="1" spans="1:32" x14ac:dyDescent="0.2">
      <c r="N1" t="s">
        <v>0</v>
      </c>
    </row>
    <row r="2" spans="1:32" x14ac:dyDescent="0.2">
      <c r="N2" t="s">
        <v>1</v>
      </c>
    </row>
    <row r="4" spans="1:32" x14ac:dyDescent="0.2">
      <c r="C4" s="496" t="s">
        <v>248</v>
      </c>
      <c r="D4" s="497"/>
      <c r="E4" s="497"/>
      <c r="F4" s="497"/>
      <c r="G4" s="497"/>
      <c r="H4" s="497"/>
      <c r="I4" s="497"/>
      <c r="J4" s="497"/>
      <c r="K4" s="497"/>
      <c r="L4" s="497"/>
      <c r="M4" s="497"/>
      <c r="N4" s="497"/>
      <c r="O4" s="497"/>
      <c r="P4" s="497"/>
      <c r="Q4" s="497"/>
      <c r="R4" s="497"/>
      <c r="S4" s="497"/>
      <c r="T4" s="497"/>
      <c r="U4" s="497"/>
      <c r="V4" s="497"/>
      <c r="W4" s="497"/>
      <c r="X4" s="497"/>
      <c r="Y4" s="497"/>
      <c r="Z4" s="497"/>
      <c r="AA4" s="497"/>
      <c r="AB4" s="497"/>
      <c r="AC4" s="497"/>
      <c r="AD4" s="497"/>
      <c r="AE4" t="s">
        <v>251</v>
      </c>
    </row>
    <row r="6" spans="1:32" s="337" customFormat="1" ht="147.75" customHeight="1" x14ac:dyDescent="0.2">
      <c r="A6" s="270"/>
      <c r="B6" s="270" t="s">
        <v>118</v>
      </c>
      <c r="C6" s="338" t="s">
        <v>214</v>
      </c>
      <c r="D6" s="338" t="s">
        <v>215</v>
      </c>
      <c r="E6" s="338" t="s">
        <v>207</v>
      </c>
      <c r="F6" s="338" t="s">
        <v>206</v>
      </c>
      <c r="G6" s="338" t="s">
        <v>112</v>
      </c>
      <c r="H6" s="338" t="s">
        <v>205</v>
      </c>
      <c r="I6" s="338" t="s">
        <v>196</v>
      </c>
      <c r="J6" s="338" t="s">
        <v>204</v>
      </c>
      <c r="K6" s="338" t="s">
        <v>203</v>
      </c>
      <c r="L6" s="339" t="s">
        <v>185</v>
      </c>
      <c r="M6" s="340" t="s">
        <v>207</v>
      </c>
      <c r="N6" s="340" t="s">
        <v>206</v>
      </c>
      <c r="O6" s="340" t="s">
        <v>112</v>
      </c>
      <c r="P6" s="340" t="s">
        <v>205</v>
      </c>
      <c r="Q6" s="340" t="s">
        <v>195</v>
      </c>
      <c r="R6" s="340" t="s">
        <v>204</v>
      </c>
      <c r="S6" s="340" t="s">
        <v>203</v>
      </c>
      <c r="T6" s="340" t="s">
        <v>216</v>
      </c>
      <c r="U6" s="340" t="s">
        <v>217</v>
      </c>
      <c r="V6" s="340" t="s">
        <v>167</v>
      </c>
      <c r="W6" s="340" t="s">
        <v>218</v>
      </c>
      <c r="X6" s="340" t="s">
        <v>219</v>
      </c>
      <c r="Y6" s="340" t="s">
        <v>227</v>
      </c>
      <c r="Z6" s="340" t="s">
        <v>250</v>
      </c>
      <c r="AA6" s="340" t="s">
        <v>272</v>
      </c>
      <c r="AB6" s="341" t="s">
        <v>185</v>
      </c>
      <c r="AC6" s="340" t="s">
        <v>222</v>
      </c>
      <c r="AD6" s="270" t="s">
        <v>12</v>
      </c>
    </row>
    <row r="7" spans="1:32" x14ac:dyDescent="0.2">
      <c r="A7">
        <v>2</v>
      </c>
      <c r="B7" s="289" t="s">
        <v>59</v>
      </c>
      <c r="C7" s="333">
        <v>251</v>
      </c>
      <c r="D7" s="333">
        <v>364</v>
      </c>
      <c r="E7" s="333">
        <v>327</v>
      </c>
      <c r="F7" s="333">
        <v>154</v>
      </c>
      <c r="G7" s="333">
        <v>868</v>
      </c>
      <c r="H7" s="333">
        <v>352</v>
      </c>
      <c r="I7" s="333">
        <v>328</v>
      </c>
      <c r="J7" s="333">
        <v>162</v>
      </c>
      <c r="K7" s="333"/>
      <c r="L7" s="334">
        <f t="shared" ref="L7:L27" si="0">SUM(C7:K7)</f>
        <v>2806</v>
      </c>
      <c r="M7" s="335"/>
      <c r="N7" s="335"/>
      <c r="O7" s="335"/>
      <c r="P7" s="335"/>
      <c r="Q7" s="335"/>
      <c r="R7" s="335"/>
      <c r="S7" s="335"/>
      <c r="T7" s="335"/>
      <c r="U7" s="335"/>
      <c r="V7" s="335"/>
      <c r="W7" s="335"/>
      <c r="X7" s="335"/>
      <c r="Y7" s="335"/>
      <c r="Z7" s="335"/>
      <c r="AA7" s="335"/>
      <c r="AB7" s="336">
        <f>SUM(M7:Z7)</f>
        <v>0</v>
      </c>
      <c r="AC7" s="280"/>
      <c r="AD7" s="281">
        <v>2806</v>
      </c>
      <c r="AE7" t="str">
        <f>+B7</f>
        <v>Feb-Jun 2002</v>
      </c>
      <c r="AF7">
        <f>+A7</f>
        <v>2</v>
      </c>
    </row>
    <row r="8" spans="1:32" x14ac:dyDescent="0.2">
      <c r="A8">
        <v>3</v>
      </c>
      <c r="B8" s="288" t="s">
        <v>60</v>
      </c>
      <c r="C8" s="271">
        <v>252</v>
      </c>
      <c r="D8" s="271">
        <v>405</v>
      </c>
      <c r="E8" s="271">
        <v>355</v>
      </c>
      <c r="F8" s="271">
        <v>150</v>
      </c>
      <c r="G8" s="271">
        <v>953</v>
      </c>
      <c r="H8" s="271">
        <v>391</v>
      </c>
      <c r="I8" s="271">
        <v>420</v>
      </c>
      <c r="J8" s="271">
        <v>190</v>
      </c>
      <c r="K8" s="271"/>
      <c r="L8" s="274">
        <f t="shared" si="0"/>
        <v>3116</v>
      </c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335"/>
      <c r="AA8" s="335"/>
      <c r="AB8" s="336">
        <f t="shared" ref="AB8:AB35" si="1">SUM(M8:Z8)</f>
        <v>0</v>
      </c>
      <c r="AC8" s="280"/>
      <c r="AD8" s="281">
        <v>3116</v>
      </c>
      <c r="AE8" t="str">
        <f t="shared" ref="AE8:AE53" si="2">+B8</f>
        <v>Ago-Dic 2002</v>
      </c>
      <c r="AF8">
        <f t="shared" ref="AF8:AF53" si="3">+A8</f>
        <v>3</v>
      </c>
    </row>
    <row r="9" spans="1:32" x14ac:dyDescent="0.2">
      <c r="A9">
        <v>4</v>
      </c>
      <c r="B9" s="289" t="s">
        <v>61</v>
      </c>
      <c r="C9" s="271">
        <v>207</v>
      </c>
      <c r="D9" s="271">
        <v>387</v>
      </c>
      <c r="E9" s="271">
        <v>315</v>
      </c>
      <c r="F9" s="271">
        <v>143</v>
      </c>
      <c r="G9" s="271">
        <v>757</v>
      </c>
      <c r="H9" s="271">
        <v>362</v>
      </c>
      <c r="I9" s="271">
        <v>391</v>
      </c>
      <c r="J9" s="271">
        <v>188</v>
      </c>
      <c r="K9" s="271"/>
      <c r="L9" s="274">
        <f t="shared" si="0"/>
        <v>2750</v>
      </c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335"/>
      <c r="AA9" s="335"/>
      <c r="AB9" s="336">
        <f t="shared" si="1"/>
        <v>0</v>
      </c>
      <c r="AC9" s="280"/>
      <c r="AD9" s="281">
        <v>2750</v>
      </c>
      <c r="AE9" t="str">
        <f t="shared" si="2"/>
        <v>Feb-Jun 2003</v>
      </c>
      <c r="AF9">
        <f t="shared" si="3"/>
        <v>4</v>
      </c>
    </row>
    <row r="10" spans="1:32" x14ac:dyDescent="0.2">
      <c r="A10">
        <v>5</v>
      </c>
      <c r="B10" s="288" t="s">
        <v>62</v>
      </c>
      <c r="C10" s="271">
        <v>214</v>
      </c>
      <c r="D10" s="271">
        <v>478</v>
      </c>
      <c r="E10" s="271">
        <v>344</v>
      </c>
      <c r="F10" s="271">
        <v>149</v>
      </c>
      <c r="G10" s="271">
        <v>823</v>
      </c>
      <c r="H10" s="271">
        <v>384</v>
      </c>
      <c r="I10" s="271">
        <v>419</v>
      </c>
      <c r="J10" s="271">
        <v>202</v>
      </c>
      <c r="K10" s="271"/>
      <c r="L10" s="274">
        <f t="shared" si="0"/>
        <v>3013</v>
      </c>
      <c r="M10" s="272"/>
      <c r="N10" s="272"/>
      <c r="O10" s="272"/>
      <c r="P10" s="272"/>
      <c r="Q10" s="272"/>
      <c r="R10" s="272"/>
      <c r="S10" s="272"/>
      <c r="T10" s="272"/>
      <c r="U10" s="272"/>
      <c r="V10" s="272"/>
      <c r="W10" s="272"/>
      <c r="X10" s="272"/>
      <c r="Y10" s="272"/>
      <c r="Z10" s="335"/>
      <c r="AA10" s="335"/>
      <c r="AB10" s="336">
        <f t="shared" si="1"/>
        <v>0</v>
      </c>
      <c r="AC10" s="280"/>
      <c r="AD10" s="281">
        <v>3013</v>
      </c>
      <c r="AE10" t="str">
        <f t="shared" si="2"/>
        <v>Ago-Dic 2003</v>
      </c>
      <c r="AF10">
        <f t="shared" si="3"/>
        <v>5</v>
      </c>
    </row>
    <row r="11" spans="1:32" x14ac:dyDescent="0.2">
      <c r="A11">
        <v>6</v>
      </c>
      <c r="B11" s="289" t="s">
        <v>63</v>
      </c>
      <c r="C11" s="271">
        <v>179</v>
      </c>
      <c r="D11" s="271">
        <v>358</v>
      </c>
      <c r="E11" s="271">
        <v>277</v>
      </c>
      <c r="F11" s="271">
        <v>111</v>
      </c>
      <c r="G11" s="271">
        <v>674</v>
      </c>
      <c r="H11" s="271">
        <v>342</v>
      </c>
      <c r="I11" s="271">
        <v>380</v>
      </c>
      <c r="J11" s="271">
        <v>181</v>
      </c>
      <c r="K11" s="271"/>
      <c r="L11" s="274">
        <f t="shared" si="0"/>
        <v>2502</v>
      </c>
      <c r="M11" s="272"/>
      <c r="N11" s="272"/>
      <c r="O11" s="272"/>
      <c r="P11" s="272"/>
      <c r="Q11" s="272"/>
      <c r="R11" s="272"/>
      <c r="S11" s="272"/>
      <c r="T11" s="272"/>
      <c r="U11" s="272"/>
      <c r="V11" s="272"/>
      <c r="W11" s="272"/>
      <c r="X11" s="272"/>
      <c r="Y11" s="272"/>
      <c r="Z11" s="335"/>
      <c r="AA11" s="335"/>
      <c r="AB11" s="336">
        <f t="shared" si="1"/>
        <v>0</v>
      </c>
      <c r="AC11" s="280"/>
      <c r="AD11" s="281">
        <v>2502</v>
      </c>
      <c r="AE11" t="str">
        <f t="shared" si="2"/>
        <v>Feb-Jun 2004</v>
      </c>
      <c r="AF11">
        <f t="shared" si="3"/>
        <v>6</v>
      </c>
    </row>
    <row r="12" spans="1:32" x14ac:dyDescent="0.2">
      <c r="A12">
        <v>7</v>
      </c>
      <c r="B12" s="288" t="s">
        <v>64</v>
      </c>
      <c r="C12" s="271">
        <v>209</v>
      </c>
      <c r="D12" s="271">
        <v>411</v>
      </c>
      <c r="E12" s="271">
        <v>329</v>
      </c>
      <c r="F12" s="271">
        <v>139</v>
      </c>
      <c r="G12" s="271">
        <v>712</v>
      </c>
      <c r="H12" s="271">
        <v>348</v>
      </c>
      <c r="I12" s="271">
        <v>408</v>
      </c>
      <c r="J12" s="271">
        <v>231</v>
      </c>
      <c r="K12" s="271">
        <v>92</v>
      </c>
      <c r="L12" s="274">
        <f t="shared" si="0"/>
        <v>2879</v>
      </c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  <c r="Z12" s="335"/>
      <c r="AA12" s="335"/>
      <c r="AB12" s="336">
        <f t="shared" si="1"/>
        <v>0</v>
      </c>
      <c r="AC12" s="280"/>
      <c r="AD12" s="281">
        <v>2879</v>
      </c>
      <c r="AE12" t="str">
        <f t="shared" si="2"/>
        <v>Ago-Dic 2004</v>
      </c>
      <c r="AF12">
        <f t="shared" si="3"/>
        <v>7</v>
      </c>
    </row>
    <row r="13" spans="1:32" x14ac:dyDescent="0.2">
      <c r="A13">
        <v>8</v>
      </c>
      <c r="B13" s="289" t="s">
        <v>65</v>
      </c>
      <c r="C13" s="271">
        <v>166</v>
      </c>
      <c r="D13" s="271">
        <v>329</v>
      </c>
      <c r="E13" s="271">
        <v>260</v>
      </c>
      <c r="F13" s="271">
        <v>122</v>
      </c>
      <c r="G13" s="271">
        <v>583</v>
      </c>
      <c r="H13" s="271">
        <v>283</v>
      </c>
      <c r="I13" s="271">
        <v>303</v>
      </c>
      <c r="J13" s="271">
        <v>189</v>
      </c>
      <c r="K13" s="271">
        <v>84</v>
      </c>
      <c r="L13" s="274">
        <f t="shared" si="0"/>
        <v>2319</v>
      </c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72"/>
      <c r="X13" s="272"/>
      <c r="Y13" s="272"/>
      <c r="Z13" s="335"/>
      <c r="AA13" s="335"/>
      <c r="AB13" s="336">
        <f t="shared" si="1"/>
        <v>0</v>
      </c>
      <c r="AC13" s="280"/>
      <c r="AD13" s="281">
        <v>2319</v>
      </c>
      <c r="AE13" t="str">
        <f t="shared" si="2"/>
        <v>Feb-Jun 2005</v>
      </c>
      <c r="AF13">
        <f t="shared" si="3"/>
        <v>8</v>
      </c>
    </row>
    <row r="14" spans="1:32" x14ac:dyDescent="0.2">
      <c r="A14">
        <v>9</v>
      </c>
      <c r="B14" s="288" t="s">
        <v>66</v>
      </c>
      <c r="C14" s="271">
        <v>181</v>
      </c>
      <c r="D14" s="271">
        <v>369</v>
      </c>
      <c r="E14" s="271">
        <v>286</v>
      </c>
      <c r="F14" s="271">
        <v>150</v>
      </c>
      <c r="G14" s="271">
        <v>651</v>
      </c>
      <c r="H14" s="271">
        <v>301</v>
      </c>
      <c r="I14" s="271">
        <v>379</v>
      </c>
      <c r="J14" s="271">
        <v>230</v>
      </c>
      <c r="K14" s="271">
        <v>292</v>
      </c>
      <c r="L14" s="274">
        <f t="shared" si="0"/>
        <v>2839</v>
      </c>
      <c r="M14" s="272"/>
      <c r="N14" s="272"/>
      <c r="O14" s="272"/>
      <c r="P14" s="272"/>
      <c r="Q14" s="272"/>
      <c r="R14" s="272"/>
      <c r="S14" s="272"/>
      <c r="T14" s="272"/>
      <c r="U14" s="272"/>
      <c r="V14" s="272"/>
      <c r="W14" s="272"/>
      <c r="X14" s="272"/>
      <c r="Y14" s="272"/>
      <c r="Z14" s="335"/>
      <c r="AA14" s="335"/>
      <c r="AB14" s="336">
        <f t="shared" si="1"/>
        <v>0</v>
      </c>
      <c r="AC14" s="280"/>
      <c r="AD14" s="281">
        <v>2839</v>
      </c>
      <c r="AE14" t="str">
        <f t="shared" si="2"/>
        <v>Ago-Dic 2005</v>
      </c>
      <c r="AF14">
        <f t="shared" si="3"/>
        <v>9</v>
      </c>
    </row>
    <row r="15" spans="1:32" x14ac:dyDescent="0.2">
      <c r="A15">
        <v>10</v>
      </c>
      <c r="B15" s="289" t="s">
        <v>67</v>
      </c>
      <c r="C15" s="271">
        <v>158</v>
      </c>
      <c r="D15" s="271">
        <v>296</v>
      </c>
      <c r="E15" s="271">
        <v>235</v>
      </c>
      <c r="F15" s="271">
        <v>135</v>
      </c>
      <c r="G15" s="271">
        <v>533</v>
      </c>
      <c r="H15" s="271">
        <v>253</v>
      </c>
      <c r="I15" s="271">
        <v>297</v>
      </c>
      <c r="J15" s="271">
        <v>195</v>
      </c>
      <c r="K15" s="271">
        <v>258</v>
      </c>
      <c r="L15" s="274">
        <f t="shared" si="0"/>
        <v>2360</v>
      </c>
      <c r="M15" s="272"/>
      <c r="N15" s="272"/>
      <c r="O15" s="272"/>
      <c r="P15" s="272"/>
      <c r="Q15" s="272"/>
      <c r="R15" s="272"/>
      <c r="S15" s="272"/>
      <c r="T15" s="272"/>
      <c r="U15" s="272"/>
      <c r="V15" s="272"/>
      <c r="W15" s="272"/>
      <c r="X15" s="272"/>
      <c r="Y15" s="272"/>
      <c r="Z15" s="335"/>
      <c r="AA15" s="335"/>
      <c r="AB15" s="336">
        <f t="shared" si="1"/>
        <v>0</v>
      </c>
      <c r="AC15" s="280"/>
      <c r="AD15" s="281">
        <v>2360</v>
      </c>
      <c r="AE15" t="str">
        <f t="shared" si="2"/>
        <v>Feb-Jun 2006</v>
      </c>
      <c r="AF15">
        <f t="shared" si="3"/>
        <v>10</v>
      </c>
    </row>
    <row r="16" spans="1:32" x14ac:dyDescent="0.2">
      <c r="A16">
        <v>11</v>
      </c>
      <c r="B16" s="288" t="s">
        <v>68</v>
      </c>
      <c r="C16" s="271">
        <v>184</v>
      </c>
      <c r="D16" s="271">
        <v>342</v>
      </c>
      <c r="E16" s="271">
        <v>248</v>
      </c>
      <c r="F16" s="271">
        <v>155</v>
      </c>
      <c r="G16" s="271">
        <v>595</v>
      </c>
      <c r="H16" s="271">
        <v>271</v>
      </c>
      <c r="I16" s="271">
        <v>366</v>
      </c>
      <c r="J16" s="271">
        <v>228</v>
      </c>
      <c r="K16" s="271">
        <v>422</v>
      </c>
      <c r="L16" s="274">
        <f t="shared" si="0"/>
        <v>2811</v>
      </c>
      <c r="M16" s="272"/>
      <c r="N16" s="272"/>
      <c r="O16" s="272"/>
      <c r="P16" s="272"/>
      <c r="Q16" s="272"/>
      <c r="R16" s="272"/>
      <c r="S16" s="272"/>
      <c r="T16" s="272"/>
      <c r="U16" s="272"/>
      <c r="V16" s="272"/>
      <c r="W16" s="272"/>
      <c r="X16" s="272"/>
      <c r="Y16" s="272"/>
      <c r="Z16" s="335"/>
      <c r="AA16" s="335"/>
      <c r="AB16" s="336">
        <f t="shared" si="1"/>
        <v>0</v>
      </c>
      <c r="AC16" s="280"/>
      <c r="AD16" s="281">
        <v>2811</v>
      </c>
      <c r="AE16" t="str">
        <f t="shared" si="2"/>
        <v>Ago-Dic 2006</v>
      </c>
      <c r="AF16">
        <f t="shared" si="3"/>
        <v>11</v>
      </c>
    </row>
    <row r="17" spans="1:32" ht="13.5" thickBot="1" x14ac:dyDescent="0.25">
      <c r="A17">
        <v>12</v>
      </c>
      <c r="B17" s="290" t="s">
        <v>75</v>
      </c>
      <c r="C17" s="282">
        <v>152</v>
      </c>
      <c r="D17" s="282">
        <v>272</v>
      </c>
      <c r="E17" s="282">
        <v>213</v>
      </c>
      <c r="F17" s="282">
        <v>127</v>
      </c>
      <c r="G17" s="282">
        <v>485</v>
      </c>
      <c r="H17" s="282">
        <v>267</v>
      </c>
      <c r="I17" s="282">
        <v>273</v>
      </c>
      <c r="J17" s="282">
        <v>209</v>
      </c>
      <c r="K17" s="282">
        <v>387</v>
      </c>
      <c r="L17" s="283">
        <f t="shared" si="0"/>
        <v>2385</v>
      </c>
      <c r="M17" s="284"/>
      <c r="N17" s="284"/>
      <c r="O17" s="284"/>
      <c r="P17" s="284"/>
      <c r="Q17" s="284"/>
      <c r="R17" s="284"/>
      <c r="S17" s="284"/>
      <c r="T17" s="284"/>
      <c r="U17" s="284"/>
      <c r="V17" s="284"/>
      <c r="W17" s="284"/>
      <c r="X17" s="284"/>
      <c r="Y17" s="284"/>
      <c r="Z17" s="335"/>
      <c r="AA17" s="335"/>
      <c r="AB17" s="336">
        <f t="shared" si="1"/>
        <v>0</v>
      </c>
      <c r="AC17" s="285"/>
      <c r="AD17" s="286">
        <v>2385</v>
      </c>
      <c r="AE17" t="str">
        <f t="shared" si="2"/>
        <v>Feb-Jun 2007</v>
      </c>
      <c r="AF17">
        <f t="shared" si="3"/>
        <v>12</v>
      </c>
    </row>
    <row r="18" spans="1:32" x14ac:dyDescent="0.2">
      <c r="A18">
        <v>13</v>
      </c>
      <c r="B18" s="287" t="s">
        <v>76</v>
      </c>
      <c r="C18" s="275">
        <v>176</v>
      </c>
      <c r="D18" s="275">
        <v>316</v>
      </c>
      <c r="E18" s="275">
        <v>209</v>
      </c>
      <c r="F18" s="275">
        <v>139</v>
      </c>
      <c r="G18" s="275">
        <v>542</v>
      </c>
      <c r="H18" s="275">
        <v>311</v>
      </c>
      <c r="I18" s="275">
        <v>331</v>
      </c>
      <c r="J18" s="275">
        <v>206</v>
      </c>
      <c r="K18" s="275">
        <v>500</v>
      </c>
      <c r="L18" s="276">
        <f t="shared" si="0"/>
        <v>2730</v>
      </c>
      <c r="M18" s="277"/>
      <c r="N18" s="277"/>
      <c r="O18" s="277"/>
      <c r="P18" s="277"/>
      <c r="Q18" s="277"/>
      <c r="R18" s="277"/>
      <c r="S18" s="277"/>
      <c r="T18" s="277"/>
      <c r="U18" s="277"/>
      <c r="V18" s="277"/>
      <c r="W18" s="277"/>
      <c r="X18" s="277"/>
      <c r="Y18" s="277"/>
      <c r="Z18" s="335"/>
      <c r="AA18" s="335"/>
      <c r="AB18" s="336">
        <f t="shared" si="1"/>
        <v>0</v>
      </c>
      <c r="AC18" s="278"/>
      <c r="AD18" s="279">
        <v>2730</v>
      </c>
      <c r="AE18" t="str">
        <f t="shared" si="2"/>
        <v>Ago-Dic 2007</v>
      </c>
      <c r="AF18">
        <f t="shared" si="3"/>
        <v>13</v>
      </c>
    </row>
    <row r="19" spans="1:32" x14ac:dyDescent="0.2">
      <c r="A19">
        <v>14</v>
      </c>
      <c r="B19" s="289" t="s">
        <v>77</v>
      </c>
      <c r="C19" s="271">
        <v>135</v>
      </c>
      <c r="D19" s="271">
        <v>251</v>
      </c>
      <c r="E19" s="271">
        <v>179</v>
      </c>
      <c r="F19" s="271">
        <v>121</v>
      </c>
      <c r="G19" s="271">
        <v>464</v>
      </c>
      <c r="H19" s="271">
        <v>250</v>
      </c>
      <c r="I19" s="271">
        <v>272</v>
      </c>
      <c r="J19" s="271">
        <v>165</v>
      </c>
      <c r="K19" s="271">
        <v>475</v>
      </c>
      <c r="L19" s="274">
        <f t="shared" si="0"/>
        <v>2312</v>
      </c>
      <c r="M19" s="272"/>
      <c r="N19" s="272"/>
      <c r="O19" s="272"/>
      <c r="P19" s="272"/>
      <c r="Q19" s="272"/>
      <c r="R19" s="272"/>
      <c r="S19" s="272"/>
      <c r="T19" s="272"/>
      <c r="U19" s="272"/>
      <c r="V19" s="272"/>
      <c r="W19" s="272"/>
      <c r="X19" s="272"/>
      <c r="Y19" s="272"/>
      <c r="Z19" s="335"/>
      <c r="AA19" s="335"/>
      <c r="AB19" s="336">
        <f t="shared" si="1"/>
        <v>0</v>
      </c>
      <c r="AC19" s="280"/>
      <c r="AD19" s="281">
        <v>2312</v>
      </c>
      <c r="AE19" t="str">
        <f t="shared" si="2"/>
        <v>Feb-Jun 2008</v>
      </c>
      <c r="AF19">
        <f t="shared" si="3"/>
        <v>14</v>
      </c>
    </row>
    <row r="20" spans="1:32" x14ac:dyDescent="0.2">
      <c r="A20">
        <v>15</v>
      </c>
      <c r="B20" s="288" t="s">
        <v>78</v>
      </c>
      <c r="C20" s="271">
        <v>170</v>
      </c>
      <c r="D20" s="271">
        <v>273</v>
      </c>
      <c r="E20" s="271">
        <v>183</v>
      </c>
      <c r="F20" s="271">
        <v>151</v>
      </c>
      <c r="G20" s="271">
        <v>604</v>
      </c>
      <c r="H20" s="271">
        <v>245</v>
      </c>
      <c r="I20" s="271">
        <v>308</v>
      </c>
      <c r="J20" s="271">
        <v>207</v>
      </c>
      <c r="K20" s="271">
        <v>548</v>
      </c>
      <c r="L20" s="274">
        <f t="shared" si="0"/>
        <v>2689</v>
      </c>
      <c r="M20" s="272"/>
      <c r="N20" s="272"/>
      <c r="O20" s="272"/>
      <c r="P20" s="272"/>
      <c r="Q20" s="272"/>
      <c r="R20" s="272"/>
      <c r="S20" s="272"/>
      <c r="T20" s="272"/>
      <c r="U20" s="272"/>
      <c r="V20" s="272"/>
      <c r="W20" s="272"/>
      <c r="X20" s="272"/>
      <c r="Y20" s="272"/>
      <c r="Z20" s="335"/>
      <c r="AA20" s="335"/>
      <c r="AB20" s="336">
        <f t="shared" si="1"/>
        <v>0</v>
      </c>
      <c r="AC20" s="280"/>
      <c r="AD20" s="281">
        <v>2689</v>
      </c>
      <c r="AE20" t="str">
        <f t="shared" si="2"/>
        <v>Ago-Dic 2008</v>
      </c>
      <c r="AF20">
        <f t="shared" si="3"/>
        <v>15</v>
      </c>
    </row>
    <row r="21" spans="1:32" x14ac:dyDescent="0.2">
      <c r="A21">
        <v>16</v>
      </c>
      <c r="B21" s="289" t="s">
        <v>79</v>
      </c>
      <c r="C21" s="271">
        <v>146</v>
      </c>
      <c r="D21" s="271">
        <v>231</v>
      </c>
      <c r="E21" s="271">
        <v>133</v>
      </c>
      <c r="F21" s="271">
        <v>124</v>
      </c>
      <c r="G21" s="271">
        <v>552</v>
      </c>
      <c r="H21" s="271">
        <v>213</v>
      </c>
      <c r="I21" s="271">
        <v>258</v>
      </c>
      <c r="J21" s="271">
        <v>158</v>
      </c>
      <c r="K21" s="271">
        <v>482</v>
      </c>
      <c r="L21" s="274">
        <f t="shared" si="0"/>
        <v>2297</v>
      </c>
      <c r="M21" s="272"/>
      <c r="N21" s="272"/>
      <c r="O21" s="272"/>
      <c r="P21" s="272"/>
      <c r="Q21" s="272"/>
      <c r="R21" s="272"/>
      <c r="S21" s="272"/>
      <c r="T21" s="272"/>
      <c r="U21" s="272"/>
      <c r="V21" s="272"/>
      <c r="W21" s="272"/>
      <c r="X21" s="272"/>
      <c r="Y21" s="272"/>
      <c r="Z21" s="335"/>
      <c r="AA21" s="335"/>
      <c r="AB21" s="336">
        <f t="shared" si="1"/>
        <v>0</v>
      </c>
      <c r="AC21" s="280"/>
      <c r="AD21" s="281">
        <v>2297</v>
      </c>
      <c r="AE21" t="str">
        <f t="shared" si="2"/>
        <v>Feb-Jun 2009</v>
      </c>
      <c r="AF21">
        <f t="shared" si="3"/>
        <v>16</v>
      </c>
    </row>
    <row r="22" spans="1:32" x14ac:dyDescent="0.2">
      <c r="A22">
        <v>17</v>
      </c>
      <c r="B22" s="288" t="s">
        <v>80</v>
      </c>
      <c r="C22" s="271">
        <v>170</v>
      </c>
      <c r="D22" s="271">
        <v>252</v>
      </c>
      <c r="E22" s="271">
        <v>154</v>
      </c>
      <c r="F22" s="271">
        <v>164</v>
      </c>
      <c r="G22" s="271">
        <v>623</v>
      </c>
      <c r="H22" s="271">
        <v>257</v>
      </c>
      <c r="I22" s="271">
        <v>339</v>
      </c>
      <c r="J22" s="271">
        <v>226</v>
      </c>
      <c r="K22" s="271">
        <v>544</v>
      </c>
      <c r="L22" s="274">
        <f t="shared" si="0"/>
        <v>2729</v>
      </c>
      <c r="M22" s="272"/>
      <c r="N22" s="272"/>
      <c r="O22" s="272"/>
      <c r="P22" s="272"/>
      <c r="Q22" s="272"/>
      <c r="R22" s="272"/>
      <c r="S22" s="272"/>
      <c r="T22" s="272"/>
      <c r="U22" s="272"/>
      <c r="V22" s="272"/>
      <c r="W22" s="272"/>
      <c r="X22" s="272"/>
      <c r="Y22" s="272"/>
      <c r="Z22" s="335"/>
      <c r="AA22" s="335"/>
      <c r="AB22" s="336">
        <f t="shared" si="1"/>
        <v>0</v>
      </c>
      <c r="AC22" s="280"/>
      <c r="AD22" s="281">
        <v>2729</v>
      </c>
      <c r="AE22" t="str">
        <f t="shared" si="2"/>
        <v>Ago-Dic 2009</v>
      </c>
      <c r="AF22">
        <f t="shared" si="3"/>
        <v>17</v>
      </c>
    </row>
    <row r="23" spans="1:32" x14ac:dyDescent="0.2">
      <c r="A23">
        <v>18</v>
      </c>
      <c r="B23" s="289" t="s">
        <v>81</v>
      </c>
      <c r="C23" s="271">
        <v>134</v>
      </c>
      <c r="D23" s="271">
        <v>186</v>
      </c>
      <c r="E23" s="271">
        <v>120</v>
      </c>
      <c r="F23" s="271">
        <v>154</v>
      </c>
      <c r="G23" s="271">
        <v>526</v>
      </c>
      <c r="H23" s="271">
        <v>210</v>
      </c>
      <c r="I23" s="271">
        <v>224</v>
      </c>
      <c r="J23" s="271">
        <v>176</v>
      </c>
      <c r="K23" s="271">
        <v>454</v>
      </c>
      <c r="L23" s="274">
        <f t="shared" si="0"/>
        <v>2184</v>
      </c>
      <c r="M23" s="272">
        <v>9</v>
      </c>
      <c r="N23" s="272">
        <v>11</v>
      </c>
      <c r="O23" s="272">
        <v>31</v>
      </c>
      <c r="P23" s="272">
        <v>11</v>
      </c>
      <c r="Q23" s="272">
        <v>23</v>
      </c>
      <c r="R23" s="272">
        <v>17</v>
      </c>
      <c r="S23" s="272">
        <v>25</v>
      </c>
      <c r="T23" s="272">
        <v>8</v>
      </c>
      <c r="U23" s="272">
        <v>0</v>
      </c>
      <c r="V23" s="272">
        <v>17</v>
      </c>
      <c r="W23" s="272">
        <v>16</v>
      </c>
      <c r="X23" s="272">
        <v>0</v>
      </c>
      <c r="Y23" s="272"/>
      <c r="Z23" s="335"/>
      <c r="AA23" s="335"/>
      <c r="AB23" s="336">
        <f t="shared" si="1"/>
        <v>168</v>
      </c>
      <c r="AC23" s="280">
        <f>+L23</f>
        <v>2184</v>
      </c>
      <c r="AD23" s="281">
        <v>2352</v>
      </c>
      <c r="AE23" t="str">
        <f t="shared" si="2"/>
        <v>Feb-Jun 2010</v>
      </c>
      <c r="AF23">
        <f t="shared" si="3"/>
        <v>18</v>
      </c>
    </row>
    <row r="24" spans="1:32" x14ac:dyDescent="0.2">
      <c r="A24">
        <v>19</v>
      </c>
      <c r="B24" s="288" t="s">
        <v>82</v>
      </c>
      <c r="C24" s="271">
        <v>122</v>
      </c>
      <c r="D24" s="271">
        <v>156</v>
      </c>
      <c r="E24" s="271">
        <v>99</v>
      </c>
      <c r="F24" s="271">
        <v>131</v>
      </c>
      <c r="G24" s="271">
        <v>439</v>
      </c>
      <c r="H24" s="271">
        <v>184</v>
      </c>
      <c r="I24" s="271">
        <v>181</v>
      </c>
      <c r="J24" s="271">
        <v>150</v>
      </c>
      <c r="K24" s="271">
        <v>359</v>
      </c>
      <c r="L24" s="274">
        <f t="shared" si="0"/>
        <v>1821</v>
      </c>
      <c r="M24" s="272">
        <v>37</v>
      </c>
      <c r="N24" s="272">
        <v>42</v>
      </c>
      <c r="O24" s="272">
        <v>138</v>
      </c>
      <c r="P24" s="272">
        <v>70</v>
      </c>
      <c r="Q24" s="272">
        <v>101</v>
      </c>
      <c r="R24" s="272">
        <v>58</v>
      </c>
      <c r="S24" s="272">
        <v>136</v>
      </c>
      <c r="T24" s="272">
        <v>20</v>
      </c>
      <c r="U24" s="272">
        <v>11</v>
      </c>
      <c r="V24" s="272">
        <v>38</v>
      </c>
      <c r="W24" s="272">
        <v>43</v>
      </c>
      <c r="X24" s="272">
        <v>20</v>
      </c>
      <c r="Y24" s="272"/>
      <c r="Z24" s="335"/>
      <c r="AA24" s="335"/>
      <c r="AB24" s="336">
        <f t="shared" si="1"/>
        <v>714</v>
      </c>
      <c r="AC24" s="280">
        <f t="shared" ref="AC24:AC71" si="4">+L24</f>
        <v>1821</v>
      </c>
      <c r="AD24" s="281">
        <v>2535</v>
      </c>
      <c r="AE24" t="str">
        <f t="shared" si="2"/>
        <v>Ago-Dic 2010</v>
      </c>
      <c r="AF24">
        <f t="shared" si="3"/>
        <v>19</v>
      </c>
    </row>
    <row r="25" spans="1:32" x14ac:dyDescent="0.2">
      <c r="A25">
        <v>20</v>
      </c>
      <c r="B25" s="289" t="s">
        <v>83</v>
      </c>
      <c r="C25" s="271">
        <v>113</v>
      </c>
      <c r="D25" s="271">
        <v>120</v>
      </c>
      <c r="E25" s="271">
        <v>77</v>
      </c>
      <c r="F25" s="271">
        <v>116</v>
      </c>
      <c r="G25" s="271">
        <v>380</v>
      </c>
      <c r="H25" s="271">
        <v>165</v>
      </c>
      <c r="I25" s="271">
        <v>151</v>
      </c>
      <c r="J25" s="271">
        <v>124</v>
      </c>
      <c r="K25" s="271">
        <v>301</v>
      </c>
      <c r="L25" s="274">
        <f t="shared" si="0"/>
        <v>1547</v>
      </c>
      <c r="M25" s="272">
        <v>34</v>
      </c>
      <c r="N25" s="272">
        <v>54</v>
      </c>
      <c r="O25" s="272">
        <v>186</v>
      </c>
      <c r="P25" s="272">
        <v>86</v>
      </c>
      <c r="Q25" s="272">
        <v>117</v>
      </c>
      <c r="R25" s="272">
        <v>64</v>
      </c>
      <c r="S25" s="272">
        <v>168</v>
      </c>
      <c r="T25" s="272">
        <v>28</v>
      </c>
      <c r="U25" s="272">
        <v>23</v>
      </c>
      <c r="V25" s="272">
        <v>53</v>
      </c>
      <c r="W25" s="272">
        <v>49</v>
      </c>
      <c r="X25" s="272">
        <v>21</v>
      </c>
      <c r="Y25" s="272"/>
      <c r="Z25" s="335"/>
      <c r="AA25" s="335"/>
      <c r="AB25" s="336">
        <f t="shared" si="1"/>
        <v>883</v>
      </c>
      <c r="AC25" s="280">
        <f t="shared" si="4"/>
        <v>1547</v>
      </c>
      <c r="AD25" s="281">
        <v>2430</v>
      </c>
      <c r="AE25" t="str">
        <f t="shared" si="2"/>
        <v>Feb-Jun 2011</v>
      </c>
      <c r="AF25">
        <f t="shared" si="3"/>
        <v>20</v>
      </c>
    </row>
    <row r="26" spans="1:32" x14ac:dyDescent="0.2">
      <c r="A26">
        <v>21</v>
      </c>
      <c r="B26" s="288" t="s">
        <v>84</v>
      </c>
      <c r="C26" s="271">
        <v>92</v>
      </c>
      <c r="D26" s="271">
        <v>103</v>
      </c>
      <c r="E26" s="271">
        <v>65</v>
      </c>
      <c r="F26" s="271">
        <v>94</v>
      </c>
      <c r="G26" s="271">
        <v>319</v>
      </c>
      <c r="H26" s="271">
        <v>125</v>
      </c>
      <c r="I26" s="271">
        <v>131</v>
      </c>
      <c r="J26" s="271">
        <v>107</v>
      </c>
      <c r="K26" s="271">
        <v>248</v>
      </c>
      <c r="L26" s="274">
        <f t="shared" si="0"/>
        <v>1284</v>
      </c>
      <c r="M26" s="272">
        <v>74</v>
      </c>
      <c r="N26" s="272">
        <v>88</v>
      </c>
      <c r="O26" s="272">
        <v>380</v>
      </c>
      <c r="P26" s="272">
        <v>161</v>
      </c>
      <c r="Q26" s="272">
        <v>198</v>
      </c>
      <c r="R26" s="272">
        <v>112</v>
      </c>
      <c r="S26" s="272">
        <v>314</v>
      </c>
      <c r="T26" s="272">
        <v>50</v>
      </c>
      <c r="U26" s="272">
        <v>53</v>
      </c>
      <c r="V26" s="272">
        <v>94</v>
      </c>
      <c r="W26" s="272">
        <v>100</v>
      </c>
      <c r="X26" s="272">
        <v>54</v>
      </c>
      <c r="Y26" s="272"/>
      <c r="Z26" s="335"/>
      <c r="AA26" s="335"/>
      <c r="AB26" s="336">
        <f t="shared" si="1"/>
        <v>1678</v>
      </c>
      <c r="AC26" s="280">
        <f t="shared" si="4"/>
        <v>1284</v>
      </c>
      <c r="AD26" s="281">
        <v>2962</v>
      </c>
      <c r="AE26" t="str">
        <f t="shared" si="2"/>
        <v>Ago-Dic 2011</v>
      </c>
      <c r="AF26">
        <f t="shared" si="3"/>
        <v>21</v>
      </c>
    </row>
    <row r="27" spans="1:32" x14ac:dyDescent="0.2">
      <c r="A27">
        <v>22</v>
      </c>
      <c r="B27" s="289" t="s">
        <v>85</v>
      </c>
      <c r="C27" s="271">
        <v>80</v>
      </c>
      <c r="D27" s="271">
        <v>72</v>
      </c>
      <c r="E27" s="271">
        <v>48</v>
      </c>
      <c r="F27" s="271">
        <v>80</v>
      </c>
      <c r="G27" s="271">
        <v>257</v>
      </c>
      <c r="H27" s="271">
        <v>104</v>
      </c>
      <c r="I27" s="271">
        <v>108</v>
      </c>
      <c r="J27" s="271">
        <v>92</v>
      </c>
      <c r="K27" s="271">
        <v>198</v>
      </c>
      <c r="L27" s="274">
        <f t="shared" si="0"/>
        <v>1039</v>
      </c>
      <c r="M27" s="272">
        <v>65</v>
      </c>
      <c r="N27" s="272">
        <v>79</v>
      </c>
      <c r="O27" s="272">
        <v>398</v>
      </c>
      <c r="P27" s="272">
        <v>147</v>
      </c>
      <c r="Q27" s="272">
        <v>194</v>
      </c>
      <c r="R27" s="272">
        <v>83</v>
      </c>
      <c r="S27" s="272">
        <v>319</v>
      </c>
      <c r="T27" s="272">
        <v>32</v>
      </c>
      <c r="U27" s="272">
        <v>43</v>
      </c>
      <c r="V27" s="272">
        <v>93</v>
      </c>
      <c r="W27" s="272">
        <v>88</v>
      </c>
      <c r="X27" s="272">
        <v>40</v>
      </c>
      <c r="Y27" s="272"/>
      <c r="Z27" s="335"/>
      <c r="AA27" s="335"/>
      <c r="AB27" s="336">
        <f t="shared" si="1"/>
        <v>1581</v>
      </c>
      <c r="AC27" s="280">
        <f t="shared" si="4"/>
        <v>1039</v>
      </c>
      <c r="AD27" s="281">
        <v>2620</v>
      </c>
      <c r="AE27" t="str">
        <f t="shared" si="2"/>
        <v>Feb-Jun 2012</v>
      </c>
      <c r="AF27">
        <f t="shared" si="3"/>
        <v>22</v>
      </c>
    </row>
    <row r="28" spans="1:32" ht="13.5" thickBot="1" x14ac:dyDescent="0.25">
      <c r="A28">
        <v>23</v>
      </c>
      <c r="B28" s="288" t="s">
        <v>86</v>
      </c>
      <c r="C28" s="317">
        <f>+EST_ITM!AT70</f>
        <v>68</v>
      </c>
      <c r="D28" s="317">
        <f>+EST_ITM!AY70</f>
        <v>57</v>
      </c>
      <c r="E28" s="317">
        <f>+EST_ITM!Z70</f>
        <v>44</v>
      </c>
      <c r="F28" s="317">
        <f>+EST_ITM!AE70</f>
        <v>62</v>
      </c>
      <c r="G28" s="317">
        <f>+EST_ITM!AJ70</f>
        <v>205</v>
      </c>
      <c r="H28" s="317">
        <f>+EST_ITM!AO70</f>
        <v>90</v>
      </c>
      <c r="I28" s="317">
        <f>+EST_ITM!BD70</f>
        <v>94</v>
      </c>
      <c r="J28" s="317">
        <f>+EST_ITM!BI70</f>
        <v>79</v>
      </c>
      <c r="K28" s="317">
        <f>+EST_ITM!BN70</f>
        <v>158</v>
      </c>
      <c r="L28" s="274">
        <f>SUM(C28:K28)</f>
        <v>857</v>
      </c>
      <c r="M28" s="316">
        <f>+EST_ITM!CR70</f>
        <v>110</v>
      </c>
      <c r="N28" s="316">
        <f>+EST_ITM!CL70</f>
        <v>120</v>
      </c>
      <c r="O28" s="316">
        <f>+EST_ITM!DJ70</f>
        <v>486</v>
      </c>
      <c r="P28" s="316">
        <f>+EST_ITM!DV70</f>
        <v>209</v>
      </c>
      <c r="Q28" s="316">
        <f>+EST_ITM!DD70</f>
        <v>249</v>
      </c>
      <c r="R28" s="316">
        <f>+EST_ITM!EH70</f>
        <v>138</v>
      </c>
      <c r="S28" s="316">
        <f>+EST_ITM!EB70</f>
        <v>421</v>
      </c>
      <c r="T28" s="316">
        <f>+EST_ITM!BZ70</f>
        <v>74</v>
      </c>
      <c r="U28" s="316">
        <f>+EST_ITM!CX70</f>
        <v>89</v>
      </c>
      <c r="V28" s="316">
        <f>+EST_ITM!CF70</f>
        <v>150</v>
      </c>
      <c r="W28" s="316">
        <f>+EST_ITM!BT70</f>
        <v>140</v>
      </c>
      <c r="X28" s="316">
        <f>+EST_ITM!DP70</f>
        <v>57</v>
      </c>
      <c r="Y28" s="272"/>
      <c r="Z28" s="335"/>
      <c r="AA28" s="335"/>
      <c r="AB28" s="336">
        <f t="shared" si="1"/>
        <v>2243</v>
      </c>
      <c r="AC28" s="280">
        <f t="shared" si="4"/>
        <v>857</v>
      </c>
      <c r="AD28" s="20">
        <f>+AB28+AC28</f>
        <v>3100</v>
      </c>
      <c r="AE28" t="str">
        <f t="shared" si="2"/>
        <v>Ago-Dic 2012</v>
      </c>
      <c r="AF28">
        <f t="shared" si="3"/>
        <v>23</v>
      </c>
    </row>
    <row r="29" spans="1:32" ht="13.5" thickBot="1" x14ac:dyDescent="0.25">
      <c r="A29">
        <v>24</v>
      </c>
      <c r="B29" s="289" t="s">
        <v>92</v>
      </c>
      <c r="C29" s="317">
        <f>+EST_ITM!AT71</f>
        <v>52</v>
      </c>
      <c r="D29" s="317">
        <f>+EST_ITM!AY71</f>
        <v>40</v>
      </c>
      <c r="E29" s="317">
        <f>+EST_ITM!Z71</f>
        <v>37</v>
      </c>
      <c r="F29" s="317">
        <f>+EST_ITM!AE71</f>
        <v>62</v>
      </c>
      <c r="G29" s="317">
        <f>+EST_ITM!AJ71</f>
        <v>158</v>
      </c>
      <c r="H29" s="317">
        <f>+EST_ITM!AO71</f>
        <v>62</v>
      </c>
      <c r="I29" s="317">
        <f>+EST_ITM!BD71</f>
        <v>82</v>
      </c>
      <c r="J29" s="317">
        <f>+EST_ITM!BI71</f>
        <v>63</v>
      </c>
      <c r="K29" s="317">
        <f>+EST_ITM!BN71</f>
        <v>125</v>
      </c>
      <c r="L29" s="274">
        <f>SUM(C29:K29)</f>
        <v>681</v>
      </c>
      <c r="M29" s="316">
        <f>+EST_ITM!CR71</f>
        <v>95</v>
      </c>
      <c r="N29" s="316">
        <f>+EST_ITM!CL71</f>
        <v>121</v>
      </c>
      <c r="O29" s="316">
        <f>+EST_ITM!DJ71</f>
        <v>516</v>
      </c>
      <c r="P29" s="316">
        <f>+EST_ITM!DV71</f>
        <v>189</v>
      </c>
      <c r="Q29" s="316">
        <f>+EST_ITM!DD71</f>
        <v>219</v>
      </c>
      <c r="R29" s="316">
        <f>+EST_ITM!EH71</f>
        <v>139</v>
      </c>
      <c r="S29" s="316">
        <f>+EST_ITM!EB71</f>
        <v>415</v>
      </c>
      <c r="T29" s="316">
        <f>+EST_ITM!BZ71</f>
        <v>70</v>
      </c>
      <c r="U29" s="316">
        <f>+EST_ITM!CX71</f>
        <v>94</v>
      </c>
      <c r="V29" s="316">
        <f>+EST_ITM!CF71</f>
        <v>141</v>
      </c>
      <c r="W29" s="316">
        <f>+EST_ITM!BT71</f>
        <v>147</v>
      </c>
      <c r="X29" s="316">
        <f>+EST_ITM!DP71</f>
        <v>46</v>
      </c>
      <c r="Y29" s="272"/>
      <c r="Z29" s="335"/>
      <c r="AA29" s="335"/>
      <c r="AB29" s="336">
        <f t="shared" si="1"/>
        <v>2192</v>
      </c>
      <c r="AC29" s="280">
        <f t="shared" si="4"/>
        <v>681</v>
      </c>
      <c r="AD29" s="20">
        <f>+AB29+AC29</f>
        <v>2873</v>
      </c>
      <c r="AE29" t="str">
        <f t="shared" si="2"/>
        <v>Feb-Jun 2013</v>
      </c>
      <c r="AF29">
        <f t="shared" si="3"/>
        <v>24</v>
      </c>
    </row>
    <row r="30" spans="1:32" ht="13.5" thickBot="1" x14ac:dyDescent="0.25">
      <c r="A30">
        <v>25</v>
      </c>
      <c r="B30" s="288" t="s">
        <v>93</v>
      </c>
      <c r="C30" s="271">
        <f>+EST_ITM!AT72</f>
        <v>44</v>
      </c>
      <c r="D30" s="271">
        <f>+EST_ITM!AY72</f>
        <v>31</v>
      </c>
      <c r="E30" s="271">
        <f>+EST_ITM!Z72</f>
        <v>25</v>
      </c>
      <c r="F30" s="271">
        <f>+EST_ITM!AE72</f>
        <v>48</v>
      </c>
      <c r="G30" s="271">
        <f>+EST_ITM!AJ72</f>
        <v>116</v>
      </c>
      <c r="H30" s="271">
        <f>+EST_ITM!AO72</f>
        <v>53</v>
      </c>
      <c r="I30" s="271">
        <f>+EST_ITM!BD72</f>
        <v>62</v>
      </c>
      <c r="J30" s="271">
        <f>+EST_ITM!BI72</f>
        <v>45</v>
      </c>
      <c r="K30" s="271">
        <f>+EST_ITM!BN72</f>
        <v>99</v>
      </c>
      <c r="L30" s="274">
        <f t="shared" ref="L30:L33" si="5">SUM(C30:K30)</f>
        <v>523</v>
      </c>
      <c r="M30" s="272">
        <f>+EST_ITM!CR72</f>
        <v>125</v>
      </c>
      <c r="N30" s="272">
        <f>+EST_ITM!CL72</f>
        <v>164</v>
      </c>
      <c r="O30" s="272">
        <f>+EST_ITM!DJ72</f>
        <v>593</v>
      </c>
      <c r="P30" s="272">
        <f>+EST_ITM!DV72</f>
        <v>245</v>
      </c>
      <c r="Q30" s="272">
        <f>+EST_ITM!DD72</f>
        <v>275</v>
      </c>
      <c r="R30" s="272">
        <f>+EST_ITM!EH72</f>
        <v>172</v>
      </c>
      <c r="S30" s="272">
        <f>+EST_ITM!EB72</f>
        <v>462</v>
      </c>
      <c r="T30" s="272">
        <f>+EST_ITM!BZ72</f>
        <v>129</v>
      </c>
      <c r="U30" s="272">
        <f>+EST_ITM!CX72</f>
        <v>150</v>
      </c>
      <c r="V30" s="272">
        <f>+EST_ITM!CF72</f>
        <v>177</v>
      </c>
      <c r="W30" s="272">
        <f>+EST_ITM!BT72</f>
        <v>179</v>
      </c>
      <c r="X30" s="272">
        <f>+EST_ITM!DP72</f>
        <v>39</v>
      </c>
      <c r="Y30" s="272"/>
      <c r="Z30" s="335"/>
      <c r="AA30" s="335"/>
      <c r="AB30" s="336">
        <f t="shared" si="1"/>
        <v>2710</v>
      </c>
      <c r="AC30" s="280">
        <f t="shared" si="4"/>
        <v>523</v>
      </c>
      <c r="AD30" s="286">
        <f>+L30+AB30</f>
        <v>3233</v>
      </c>
      <c r="AE30" t="str">
        <f t="shared" si="2"/>
        <v>Ago-Dic 2013</v>
      </c>
      <c r="AF30">
        <f t="shared" si="3"/>
        <v>25</v>
      </c>
    </row>
    <row r="31" spans="1:32" ht="13.5" thickBot="1" x14ac:dyDescent="0.25">
      <c r="A31">
        <v>26</v>
      </c>
      <c r="B31" s="289" t="s">
        <v>94</v>
      </c>
      <c r="C31" s="317">
        <f>+EST_ITM!AT73</f>
        <v>37</v>
      </c>
      <c r="D31" s="317">
        <f>+EST_ITM!AY73</f>
        <v>12</v>
      </c>
      <c r="E31" s="317">
        <f>+EST_ITM!Z73</f>
        <v>17</v>
      </c>
      <c r="F31" s="317">
        <f>+EST_ITM!AE73</f>
        <v>29</v>
      </c>
      <c r="G31" s="317">
        <f>+EST_ITM!AJ73</f>
        <v>76</v>
      </c>
      <c r="H31" s="317">
        <f>+EST_ITM!AO73</f>
        <v>29</v>
      </c>
      <c r="I31" s="317">
        <f>+EST_ITM!BD73</f>
        <v>34</v>
      </c>
      <c r="J31" s="317">
        <f>+EST_ITM!BI73</f>
        <v>11</v>
      </c>
      <c r="K31" s="317">
        <f>+EST_ITM!BN73</f>
        <v>50</v>
      </c>
      <c r="L31" s="283">
        <f t="shared" si="5"/>
        <v>295</v>
      </c>
      <c r="M31" s="316">
        <f>+EST_ITM!CR73</f>
        <v>111</v>
      </c>
      <c r="N31" s="316">
        <f>+EST_ITM!CL73</f>
        <v>150</v>
      </c>
      <c r="O31" s="316">
        <f>+EST_ITM!DJ73</f>
        <v>621</v>
      </c>
      <c r="P31" s="316">
        <f>+EST_ITM!DV73</f>
        <v>229</v>
      </c>
      <c r="Q31" s="316">
        <f>+EST_ITM!DD73</f>
        <v>248</v>
      </c>
      <c r="R31" s="316">
        <f>+EST_ITM!EH73</f>
        <v>152</v>
      </c>
      <c r="S31" s="316">
        <f>+EST_ITM!EB73</f>
        <v>478</v>
      </c>
      <c r="T31" s="316">
        <f>+EST_ITM!BZ73</f>
        <v>117</v>
      </c>
      <c r="U31" s="316">
        <f>+EST_ITM!CX73</f>
        <v>153</v>
      </c>
      <c r="V31" s="316">
        <f>+EST_ITM!CF73</f>
        <v>155</v>
      </c>
      <c r="W31" s="316">
        <f>+EST_ITM!BT73</f>
        <v>191</v>
      </c>
      <c r="X31" s="316">
        <f>+EST_ITM!DP73</f>
        <v>42</v>
      </c>
      <c r="Y31" s="316"/>
      <c r="Z31" s="335"/>
      <c r="AA31" s="335"/>
      <c r="AB31" s="336">
        <f t="shared" si="1"/>
        <v>2647</v>
      </c>
      <c r="AC31" s="280">
        <f t="shared" si="4"/>
        <v>295</v>
      </c>
      <c r="AD31" s="286">
        <f t="shared" ref="AD31:AD33" si="6">+L31+AB31</f>
        <v>2942</v>
      </c>
      <c r="AE31" t="str">
        <f t="shared" si="2"/>
        <v>Feb-Jun 2014</v>
      </c>
      <c r="AF31">
        <f t="shared" si="3"/>
        <v>26</v>
      </c>
    </row>
    <row r="32" spans="1:32" ht="13.5" thickBot="1" x14ac:dyDescent="0.25">
      <c r="A32">
        <v>27</v>
      </c>
      <c r="B32" s="288" t="s">
        <v>96</v>
      </c>
      <c r="C32" s="317">
        <f>+EST_ITM!AT74</f>
        <v>24</v>
      </c>
      <c r="D32" s="317">
        <f>+EST_ITM!AY74</f>
        <v>10</v>
      </c>
      <c r="E32" s="317">
        <f>+EST_ITM!Z74</f>
        <v>8</v>
      </c>
      <c r="F32" s="317">
        <f>+EST_ITM!AE74</f>
        <v>17</v>
      </c>
      <c r="G32" s="317">
        <f>+EST_ITM!AJ74</f>
        <v>27</v>
      </c>
      <c r="H32" s="317">
        <f>+EST_ITM!AO74</f>
        <v>14</v>
      </c>
      <c r="I32" s="317">
        <f>+EST_ITM!BD74</f>
        <v>10</v>
      </c>
      <c r="J32" s="317">
        <f>+EST_ITM!BI74</f>
        <v>7</v>
      </c>
      <c r="K32" s="317">
        <f>+EST_ITM!BN74</f>
        <v>29</v>
      </c>
      <c r="L32" s="283">
        <f t="shared" si="5"/>
        <v>146</v>
      </c>
      <c r="M32" s="316">
        <f>+EST_ITM!CR74</f>
        <v>136</v>
      </c>
      <c r="N32" s="316">
        <f>+EST_ITM!CL74</f>
        <v>193</v>
      </c>
      <c r="O32" s="316">
        <f>+EST_ITM!DJ74</f>
        <v>709</v>
      </c>
      <c r="P32" s="316">
        <f>+EST_ITM!DV74</f>
        <v>317</v>
      </c>
      <c r="Q32" s="316">
        <f>+EST_ITM!DD74</f>
        <v>305</v>
      </c>
      <c r="R32" s="316">
        <f>+EST_ITM!EH74</f>
        <v>190</v>
      </c>
      <c r="S32" s="316">
        <f>+EST_ITM!EB74</f>
        <v>547</v>
      </c>
      <c r="T32" s="316">
        <f>+EST_ITM!BZ74</f>
        <v>145</v>
      </c>
      <c r="U32" s="316">
        <f>+EST_ITM!CX74</f>
        <v>164</v>
      </c>
      <c r="V32" s="316">
        <f>+EST_ITM!CF74</f>
        <v>217</v>
      </c>
      <c r="W32" s="316">
        <f>+EST_ITM!BT74</f>
        <v>209</v>
      </c>
      <c r="X32" s="316">
        <f>+EST_ITM!DP74</f>
        <v>39</v>
      </c>
      <c r="Y32" s="316"/>
      <c r="Z32" s="335"/>
      <c r="AA32" s="335"/>
      <c r="AB32" s="336">
        <f t="shared" si="1"/>
        <v>3171</v>
      </c>
      <c r="AC32" s="280">
        <f t="shared" si="4"/>
        <v>146</v>
      </c>
      <c r="AD32" s="286">
        <f t="shared" si="6"/>
        <v>3317</v>
      </c>
      <c r="AE32" t="str">
        <f t="shared" si="2"/>
        <v>Ago-Dic 2014</v>
      </c>
      <c r="AF32">
        <f t="shared" si="3"/>
        <v>27</v>
      </c>
    </row>
    <row r="33" spans="1:34" x14ac:dyDescent="0.2">
      <c r="A33">
        <v>28</v>
      </c>
      <c r="B33" s="289" t="s">
        <v>95</v>
      </c>
      <c r="C33" s="342">
        <f>+EST_ITM!AT75</f>
        <v>10</v>
      </c>
      <c r="D33" s="342">
        <f>+EST_ITM!AY75</f>
        <v>6</v>
      </c>
      <c r="E33" s="342">
        <f>+EST_ITM!Z75</f>
        <v>3</v>
      </c>
      <c r="F33" s="342">
        <f>+EST_ITM!AE75</f>
        <v>8</v>
      </c>
      <c r="G33" s="342">
        <f>+EST_ITM!AJ75</f>
        <v>18</v>
      </c>
      <c r="H33" s="342">
        <f>+EST_ITM!AO75</f>
        <v>6</v>
      </c>
      <c r="I33" s="342">
        <f>+EST_ITM!BD75</f>
        <v>0</v>
      </c>
      <c r="J33" s="342">
        <f>+EST_ITM!BI75</f>
        <v>2</v>
      </c>
      <c r="K33" s="342">
        <f>+EST_ITM!BN75</f>
        <v>17</v>
      </c>
      <c r="L33" s="343">
        <f t="shared" si="5"/>
        <v>70</v>
      </c>
      <c r="M33" s="344">
        <f>+EST_ITM!CR75</f>
        <v>132</v>
      </c>
      <c r="N33" s="344">
        <f>+EST_ITM!CL75</f>
        <v>177</v>
      </c>
      <c r="O33" s="344">
        <f>+EST_ITM!DJ75</f>
        <v>762</v>
      </c>
      <c r="P33" s="344">
        <f>+EST_ITM!DV75</f>
        <v>321</v>
      </c>
      <c r="Q33" s="344">
        <f>+EST_ITM!DD75</f>
        <v>296</v>
      </c>
      <c r="R33" s="344">
        <f>+EST_ITM!EH75</f>
        <v>190</v>
      </c>
      <c r="S33" s="344">
        <f>+EST_ITM!EB75</f>
        <v>555</v>
      </c>
      <c r="T33" s="344">
        <f>+EST_ITM!BZ75</f>
        <v>156</v>
      </c>
      <c r="U33" s="344">
        <f>+EST_ITM!CX75</f>
        <v>175</v>
      </c>
      <c r="V33" s="344">
        <f>+EST_ITM!CF75</f>
        <v>195</v>
      </c>
      <c r="W33" s="344">
        <f>+EST_ITM!BT75</f>
        <v>217</v>
      </c>
      <c r="X33" s="344">
        <f>+EST_ITM!DP75</f>
        <v>36</v>
      </c>
      <c r="Y33" s="344"/>
      <c r="Z33" s="335"/>
      <c r="AA33" s="335"/>
      <c r="AB33" s="336">
        <f t="shared" si="1"/>
        <v>3212</v>
      </c>
      <c r="AC33" s="280">
        <f t="shared" si="4"/>
        <v>70</v>
      </c>
      <c r="AD33" s="345">
        <f t="shared" si="6"/>
        <v>3282</v>
      </c>
      <c r="AE33" t="str">
        <f t="shared" si="2"/>
        <v>Feb-Jun 2015</v>
      </c>
      <c r="AF33">
        <f t="shared" si="3"/>
        <v>28</v>
      </c>
    </row>
    <row r="34" spans="1:34" ht="13.5" thickBot="1" x14ac:dyDescent="0.25">
      <c r="A34">
        <v>29</v>
      </c>
      <c r="B34" s="288" t="s">
        <v>98</v>
      </c>
      <c r="C34" s="317">
        <f>+EST_ITM!AT76</f>
        <v>4</v>
      </c>
      <c r="D34" s="317">
        <f>+EST_ITM!AY76</f>
        <v>1</v>
      </c>
      <c r="E34" s="317">
        <f>+EST_ITM!Z76</f>
        <v>3</v>
      </c>
      <c r="F34" s="317">
        <f>+EST_ITM!AE76</f>
        <v>9</v>
      </c>
      <c r="G34" s="317">
        <f>+EST_ITM!AJ76</f>
        <v>17</v>
      </c>
      <c r="H34" s="317">
        <f>+EST_ITM!AO76</f>
        <v>4</v>
      </c>
      <c r="I34" s="317">
        <f>+EST_ITM!BD76</f>
        <v>1</v>
      </c>
      <c r="J34" s="317">
        <f>+EST_ITM!BI76</f>
        <v>2</v>
      </c>
      <c r="K34" s="317">
        <f>+EST_ITM!BN76</f>
        <v>11</v>
      </c>
      <c r="L34" s="318">
        <f t="shared" ref="L34:L53" si="7">SUM(C34:K34)</f>
        <v>52</v>
      </c>
      <c r="M34" s="316">
        <f>+EST_ITM!CR76</f>
        <v>151</v>
      </c>
      <c r="N34" s="316">
        <f>+EST_ITM!CL76</f>
        <v>211</v>
      </c>
      <c r="O34" s="316">
        <f>+EST_ITM!DJ76</f>
        <v>818</v>
      </c>
      <c r="P34" s="316">
        <f>+EST_ITM!DV76</f>
        <v>401</v>
      </c>
      <c r="Q34" s="316">
        <f>+EST_ITM!DD76</f>
        <v>327</v>
      </c>
      <c r="R34" s="316">
        <f>+EST_ITM!EH76</f>
        <v>199</v>
      </c>
      <c r="S34" s="316">
        <f>+EST_ITM!EB76</f>
        <v>623</v>
      </c>
      <c r="T34" s="316">
        <f>+EST_ITM!BZ76</f>
        <v>166</v>
      </c>
      <c r="U34" s="316">
        <f>+EST_ITM!CX76</f>
        <v>200</v>
      </c>
      <c r="V34" s="316">
        <f>+EST_ITM!CF76</f>
        <v>208</v>
      </c>
      <c r="W34" s="316">
        <f>+EST_ITM!BT76</f>
        <v>240</v>
      </c>
      <c r="X34" s="316">
        <f>+EST_ITM!DP76</f>
        <v>34</v>
      </c>
      <c r="Y34" s="316"/>
      <c r="Z34" s="335"/>
      <c r="AA34" s="335"/>
      <c r="AB34" s="336">
        <f t="shared" si="1"/>
        <v>3578</v>
      </c>
      <c r="AC34" s="280">
        <f t="shared" si="4"/>
        <v>52</v>
      </c>
      <c r="AD34" s="286">
        <f t="shared" ref="AD34:AD53" si="8">+L34+AB34</f>
        <v>3630</v>
      </c>
      <c r="AE34" t="str">
        <f t="shared" si="2"/>
        <v>Ago-Dic 2015</v>
      </c>
      <c r="AF34">
        <f t="shared" si="3"/>
        <v>29</v>
      </c>
    </row>
    <row r="35" spans="1:34" ht="13.5" thickBot="1" x14ac:dyDescent="0.25">
      <c r="A35">
        <v>30</v>
      </c>
      <c r="B35" s="289" t="s">
        <v>99</v>
      </c>
      <c r="C35" s="317">
        <f>+EST_ITM!AT77</f>
        <v>1</v>
      </c>
      <c r="D35" s="317">
        <f>+EST_ITM!AY77</f>
        <v>1</v>
      </c>
      <c r="E35" s="317">
        <f>+EST_ITM!Z77</f>
        <v>0</v>
      </c>
      <c r="F35" s="317">
        <f>+EST_ITM!AE77</f>
        <v>5</v>
      </c>
      <c r="G35" s="317">
        <f>+EST_ITM!AJ77</f>
        <v>7</v>
      </c>
      <c r="H35" s="317">
        <f>+EST_ITM!AO77</f>
        <v>1</v>
      </c>
      <c r="I35" s="317">
        <f>+EST_ITM!BD77</f>
        <v>0</v>
      </c>
      <c r="J35" s="317">
        <f>+EST_ITM!BI77</f>
        <v>2</v>
      </c>
      <c r="K35" s="317">
        <f>+EST_ITM!BN77</f>
        <v>5</v>
      </c>
      <c r="L35" s="283">
        <f t="shared" si="7"/>
        <v>22</v>
      </c>
      <c r="M35" s="316">
        <f>+EST_ITM!CR77</f>
        <v>140</v>
      </c>
      <c r="N35" s="316">
        <f>+EST_ITM!CL77</f>
        <v>211</v>
      </c>
      <c r="O35" s="316">
        <f>+EST_ITM!DJ77</f>
        <v>877</v>
      </c>
      <c r="P35" s="316">
        <f>+EST_ITM!DV77</f>
        <v>408</v>
      </c>
      <c r="Q35" s="316">
        <f>+EST_ITM!DD77</f>
        <v>299</v>
      </c>
      <c r="R35" s="316">
        <f>+EST_ITM!EH77</f>
        <v>204</v>
      </c>
      <c r="S35" s="316">
        <f>+EST_ITM!EB77</f>
        <v>590</v>
      </c>
      <c r="T35" s="316">
        <f>+EST_ITM!BZ77</f>
        <v>169</v>
      </c>
      <c r="U35" s="316">
        <f>+EST_ITM!CX77</f>
        <v>204</v>
      </c>
      <c r="V35" s="316">
        <f>+EST_ITM!CF77</f>
        <v>198</v>
      </c>
      <c r="W35" s="316">
        <f>+EST_ITM!BT77</f>
        <v>227</v>
      </c>
      <c r="X35" s="316">
        <f>+EST_ITM!DP77</f>
        <v>30</v>
      </c>
      <c r="Y35" s="316"/>
      <c r="Z35" s="335"/>
      <c r="AA35" s="335"/>
      <c r="AB35" s="336">
        <f t="shared" si="1"/>
        <v>3557</v>
      </c>
      <c r="AC35" s="280">
        <f t="shared" si="4"/>
        <v>22</v>
      </c>
      <c r="AD35" s="286">
        <f t="shared" si="8"/>
        <v>3579</v>
      </c>
      <c r="AE35" t="str">
        <f t="shared" si="2"/>
        <v>Feb-Jun 2016</v>
      </c>
      <c r="AF35">
        <f t="shared" si="3"/>
        <v>30</v>
      </c>
    </row>
    <row r="36" spans="1:34" ht="13.5" thickBot="1" x14ac:dyDescent="0.25">
      <c r="A36">
        <v>31</v>
      </c>
      <c r="B36" s="288" t="s">
        <v>100</v>
      </c>
      <c r="C36" s="317">
        <f>+EST_ITM!AT78</f>
        <v>2</v>
      </c>
      <c r="D36" s="317">
        <f>+EST_ITM!AY78</f>
        <v>1</v>
      </c>
      <c r="E36" s="317">
        <f>+EST_ITM!Z78</f>
        <v>2</v>
      </c>
      <c r="F36" s="317">
        <f>+EST_ITM!AE78</f>
        <v>3</v>
      </c>
      <c r="G36" s="317">
        <f>+EST_ITM!AJ78</f>
        <v>2</v>
      </c>
      <c r="H36" s="317">
        <f>+EST_ITM!AO78</f>
        <v>0</v>
      </c>
      <c r="I36" s="317">
        <f>+EST_ITM!BD78</f>
        <v>0</v>
      </c>
      <c r="J36" s="317">
        <f>+EST_ITM!BI78</f>
        <v>0</v>
      </c>
      <c r="K36" s="317">
        <f>+EST_ITM!BN78</f>
        <v>0</v>
      </c>
      <c r="L36" s="283">
        <f t="shared" si="7"/>
        <v>10</v>
      </c>
      <c r="M36" s="316">
        <f>+EST_ITM!CR78</f>
        <v>162</v>
      </c>
      <c r="N36" s="316">
        <f>+EST_ITM!CL78</f>
        <v>245</v>
      </c>
      <c r="O36" s="316">
        <f>+EST_ITM!DJ78</f>
        <v>903</v>
      </c>
      <c r="P36" s="316">
        <f>+EST_ITM!DV78</f>
        <v>472</v>
      </c>
      <c r="Q36" s="316">
        <f>+EST_ITM!DD78</f>
        <v>351</v>
      </c>
      <c r="R36" s="316">
        <f>+EST_ITM!EH78</f>
        <v>246</v>
      </c>
      <c r="S36" s="316">
        <f>+EST_ITM!EB78</f>
        <v>678</v>
      </c>
      <c r="T36" s="316">
        <f>+EST_ITM!BZ78</f>
        <v>193</v>
      </c>
      <c r="U36" s="316">
        <f>+EST_ITM!CX78</f>
        <v>244</v>
      </c>
      <c r="V36" s="316">
        <f>+EST_ITM!CF78</f>
        <v>233</v>
      </c>
      <c r="W36" s="316">
        <f>+EST_ITM!BT78</f>
        <v>261</v>
      </c>
      <c r="X36" s="316">
        <f>+EST_ITM!DP78</f>
        <v>26</v>
      </c>
      <c r="Y36" s="316">
        <f>+EST_ITM!EN78</f>
        <v>34</v>
      </c>
      <c r="Z36" s="335">
        <f>+EST_ITM!ET78</f>
        <v>8</v>
      </c>
      <c r="AA36" s="335">
        <f>+EST_ITM!EZ78</f>
        <v>0</v>
      </c>
      <c r="AB36" s="336">
        <f t="shared" ref="AB36:AB41" si="9">SUM(M36:AA36)</f>
        <v>4056</v>
      </c>
      <c r="AC36" s="280">
        <f t="shared" si="4"/>
        <v>10</v>
      </c>
      <c r="AD36" s="286">
        <f t="shared" si="8"/>
        <v>4066</v>
      </c>
      <c r="AE36" t="str">
        <f t="shared" si="2"/>
        <v>Ago-Dic 2016</v>
      </c>
      <c r="AF36">
        <f t="shared" si="3"/>
        <v>31</v>
      </c>
    </row>
    <row r="37" spans="1:34" ht="13.5" thickBot="1" x14ac:dyDescent="0.25">
      <c r="A37">
        <v>32</v>
      </c>
      <c r="B37" s="289" t="s">
        <v>101</v>
      </c>
      <c r="C37" s="317">
        <f>+EST_ITM!AT79</f>
        <v>1</v>
      </c>
      <c r="D37" s="317">
        <f>+EST_ITM!AY79</f>
        <v>0</v>
      </c>
      <c r="E37" s="317">
        <f>+EST_ITM!Z79</f>
        <v>1</v>
      </c>
      <c r="F37" s="317">
        <f>+EST_ITM!AE79</f>
        <v>1</v>
      </c>
      <c r="G37" s="317">
        <f>+EST_ITM!AJ79</f>
        <v>1</v>
      </c>
      <c r="H37" s="317">
        <f>+EST_ITM!AO79</f>
        <v>0</v>
      </c>
      <c r="I37" s="317">
        <f>+EST_ITM!BD79</f>
        <v>0</v>
      </c>
      <c r="J37" s="317">
        <f>+EST_ITM!BI79</f>
        <v>0</v>
      </c>
      <c r="K37" s="317">
        <f>+EST_ITM!BN79</f>
        <v>1</v>
      </c>
      <c r="L37" s="283">
        <f>SUM(C37:K37)</f>
        <v>5</v>
      </c>
      <c r="M37" s="316">
        <f>+EST_ITM!CR79</f>
        <v>139</v>
      </c>
      <c r="N37" s="316">
        <f>+EST_ITM!CL79</f>
        <v>248</v>
      </c>
      <c r="O37" s="316">
        <f>+EST_ITM!DJ79</f>
        <v>873</v>
      </c>
      <c r="P37" s="316">
        <f>+EST_ITM!DV79</f>
        <v>451</v>
      </c>
      <c r="Q37" s="316">
        <f>+EST_ITM!DD79</f>
        <v>331</v>
      </c>
      <c r="R37" s="316">
        <f>+EST_ITM!EH79</f>
        <v>230</v>
      </c>
      <c r="S37" s="316">
        <f>+EST_ITM!EB79</f>
        <v>631</v>
      </c>
      <c r="T37" s="316">
        <f>+EST_ITM!BZ79</f>
        <v>208</v>
      </c>
      <c r="U37" s="316">
        <f>+EST_ITM!CX79</f>
        <v>228</v>
      </c>
      <c r="V37" s="316">
        <f>+EST_ITM!CF79</f>
        <v>183</v>
      </c>
      <c r="W37" s="316">
        <f>+EST_ITM!BT79</f>
        <v>258</v>
      </c>
      <c r="X37" s="316">
        <f>+EST_ITM!DP79</f>
        <v>23</v>
      </c>
      <c r="Y37" s="316">
        <f>+EST_ITM!EN79</f>
        <v>28</v>
      </c>
      <c r="Z37" s="335">
        <f>+EST_ITM!ET79</f>
        <v>6</v>
      </c>
      <c r="AA37" s="335">
        <f>+EST_ITM!EZ79</f>
        <v>0</v>
      </c>
      <c r="AB37" s="336">
        <f t="shared" si="9"/>
        <v>3837</v>
      </c>
      <c r="AC37" s="280">
        <f t="shared" si="4"/>
        <v>5</v>
      </c>
      <c r="AD37" s="286">
        <f t="shared" si="8"/>
        <v>3842</v>
      </c>
      <c r="AE37" t="str">
        <f t="shared" si="2"/>
        <v>Feb-Jun 2017</v>
      </c>
      <c r="AF37">
        <f t="shared" si="3"/>
        <v>32</v>
      </c>
      <c r="AH37" s="407"/>
    </row>
    <row r="38" spans="1:34" ht="13.5" thickBot="1" x14ac:dyDescent="0.25">
      <c r="A38">
        <v>33</v>
      </c>
      <c r="B38" s="288" t="s">
        <v>102</v>
      </c>
      <c r="C38" s="317">
        <f>+EST_ITM!AT80</f>
        <v>0</v>
      </c>
      <c r="D38" s="317">
        <f>+EST_ITM!AY80</f>
        <v>0</v>
      </c>
      <c r="E38" s="317">
        <f>+EST_ITM!Z80</f>
        <v>0</v>
      </c>
      <c r="F38" s="317">
        <f>+EST_ITM!AE80</f>
        <v>1</v>
      </c>
      <c r="G38" s="317">
        <f>+EST_ITM!AJ80</f>
        <v>1</v>
      </c>
      <c r="H38" s="317">
        <f>+EST_ITM!AO80</f>
        <v>0</v>
      </c>
      <c r="I38" s="317">
        <f>+EST_ITM!BD80</f>
        <v>0</v>
      </c>
      <c r="J38" s="317">
        <f>+EST_ITM!BI80</f>
        <v>0</v>
      </c>
      <c r="K38" s="317">
        <f>+EST_ITM!BN80</f>
        <v>1</v>
      </c>
      <c r="L38" s="283">
        <f t="shared" si="7"/>
        <v>3</v>
      </c>
      <c r="M38" s="316">
        <f>+EST_ITM!CR80</f>
        <v>154</v>
      </c>
      <c r="N38" s="316">
        <f>+EST_ITM!CL80</f>
        <v>248</v>
      </c>
      <c r="O38" s="316">
        <f>+EST_ITM!DJ80</f>
        <v>920</v>
      </c>
      <c r="P38" s="316">
        <f>+EST_ITM!DV80</f>
        <v>518</v>
      </c>
      <c r="Q38" s="316">
        <f>+EST_ITM!DD80</f>
        <v>402</v>
      </c>
      <c r="R38" s="316">
        <f>+EST_ITM!EH80</f>
        <v>276</v>
      </c>
      <c r="S38" s="316">
        <f>+EST_ITM!EB80</f>
        <v>684</v>
      </c>
      <c r="T38" s="316">
        <f>+EST_ITM!BZ80</f>
        <v>228</v>
      </c>
      <c r="U38" s="316">
        <f>+EST_ITM!CX80</f>
        <v>286</v>
      </c>
      <c r="V38" s="316">
        <f>+EST_ITM!CF80</f>
        <v>205</v>
      </c>
      <c r="W38" s="316">
        <f>+EST_ITM!BT80</f>
        <v>285</v>
      </c>
      <c r="X38" s="316">
        <f>+EST_ITM!DP80</f>
        <v>17</v>
      </c>
      <c r="Y38" s="316">
        <f>+EST_ITM!EN80</f>
        <v>70</v>
      </c>
      <c r="Z38" s="335">
        <f>+EST_ITM!ET80</f>
        <v>10</v>
      </c>
      <c r="AA38" s="335">
        <f>+EST_ITM!EZ80</f>
        <v>0</v>
      </c>
      <c r="AB38" s="336">
        <f t="shared" si="9"/>
        <v>4303</v>
      </c>
      <c r="AC38" s="280">
        <f t="shared" si="4"/>
        <v>3</v>
      </c>
      <c r="AD38" s="286">
        <f t="shared" si="8"/>
        <v>4306</v>
      </c>
      <c r="AE38" t="str">
        <f t="shared" si="2"/>
        <v>Ago-Dic 2017</v>
      </c>
      <c r="AF38">
        <f t="shared" si="3"/>
        <v>33</v>
      </c>
    </row>
    <row r="39" spans="1:34" ht="13.5" thickBot="1" x14ac:dyDescent="0.25">
      <c r="A39">
        <v>34</v>
      </c>
      <c r="B39" s="289" t="s">
        <v>103</v>
      </c>
      <c r="C39" s="317">
        <f>+EST_ITM!AT81</f>
        <v>1</v>
      </c>
      <c r="D39" s="317">
        <f>+EST_ITM!AY81</f>
        <v>0</v>
      </c>
      <c r="E39" s="317">
        <f>+EST_ITM!Z81</f>
        <v>0</v>
      </c>
      <c r="F39" s="317">
        <f>+EST_ITM!AE81</f>
        <v>0</v>
      </c>
      <c r="G39" s="317">
        <f>+EST_ITM!AJ81</f>
        <v>0</v>
      </c>
      <c r="H39" s="317">
        <f>+EST_ITM!AO81</f>
        <v>0</v>
      </c>
      <c r="I39" s="317">
        <f>+EST_ITM!BD81</f>
        <v>1</v>
      </c>
      <c r="J39" s="317">
        <f>+EST_ITM!BI81</f>
        <v>0</v>
      </c>
      <c r="K39" s="317">
        <f>+EST_ITM!BN81</f>
        <v>0</v>
      </c>
      <c r="L39" s="283">
        <f t="shared" si="7"/>
        <v>2</v>
      </c>
      <c r="M39" s="316">
        <f>+EST_ITM!CR81</f>
        <v>128</v>
      </c>
      <c r="N39" s="316">
        <f>+EST_ITM!CL81</f>
        <v>238</v>
      </c>
      <c r="O39" s="316">
        <f>+EST_ITM!DJ81</f>
        <v>880</v>
      </c>
      <c r="P39" s="316">
        <f>+EST_ITM!DV81</f>
        <v>496</v>
      </c>
      <c r="Q39" s="316">
        <f>+EST_ITM!DD81</f>
        <v>384</v>
      </c>
      <c r="R39" s="316">
        <f>+EST_ITM!EH81</f>
        <v>273</v>
      </c>
      <c r="S39" s="316">
        <f>+EST_ITM!EB81</f>
        <v>653</v>
      </c>
      <c r="T39" s="316">
        <f>+EST_ITM!BZ81</f>
        <v>227</v>
      </c>
      <c r="U39" s="316">
        <f>+EST_ITM!CX81</f>
        <v>259</v>
      </c>
      <c r="V39" s="316">
        <f>+EST_ITM!CF81</f>
        <v>185</v>
      </c>
      <c r="W39" s="316">
        <f>+EST_ITM!BT81</f>
        <v>275</v>
      </c>
      <c r="X39" s="316">
        <f>+EST_ITM!DP81</f>
        <v>9</v>
      </c>
      <c r="Y39" s="316">
        <f>+EST_ITM!EN81</f>
        <v>48</v>
      </c>
      <c r="Z39" s="335">
        <f>+EST_ITM!ET81</f>
        <v>7</v>
      </c>
      <c r="AA39" s="335">
        <f>+EST_ITM!EZ81</f>
        <v>0</v>
      </c>
      <c r="AB39" s="336">
        <f t="shared" si="9"/>
        <v>4062</v>
      </c>
      <c r="AC39" s="280">
        <f t="shared" si="4"/>
        <v>2</v>
      </c>
      <c r="AD39" s="286">
        <f t="shared" si="8"/>
        <v>4064</v>
      </c>
      <c r="AE39" t="str">
        <f t="shared" si="2"/>
        <v>Feb-Jun 2018</v>
      </c>
      <c r="AF39">
        <f t="shared" si="3"/>
        <v>34</v>
      </c>
    </row>
    <row r="40" spans="1:34" ht="13.5" thickBot="1" x14ac:dyDescent="0.25">
      <c r="A40">
        <v>35</v>
      </c>
      <c r="B40" s="288" t="s">
        <v>104</v>
      </c>
      <c r="C40" s="317">
        <f>+EST_ITM!AT82</f>
        <v>0</v>
      </c>
      <c r="D40" s="317">
        <f>+EST_ITM!AY82</f>
        <v>0</v>
      </c>
      <c r="E40" s="317">
        <f>+EST_ITM!Z82</f>
        <v>0</v>
      </c>
      <c r="F40" s="317">
        <f>+EST_ITM!AE82</f>
        <v>0</v>
      </c>
      <c r="G40" s="317">
        <f>+EST_ITM!AJ82</f>
        <v>2</v>
      </c>
      <c r="H40" s="317">
        <f>+EST_ITM!AO82</f>
        <v>0</v>
      </c>
      <c r="I40" s="317">
        <f>+EST_ITM!BD82</f>
        <v>0</v>
      </c>
      <c r="J40" s="317">
        <f>+EST_ITM!BI82</f>
        <v>0</v>
      </c>
      <c r="K40" s="317">
        <f>+EST_ITM!BN82</f>
        <v>0</v>
      </c>
      <c r="L40" s="283">
        <f t="shared" si="7"/>
        <v>2</v>
      </c>
      <c r="M40" s="316">
        <f>+EST_ITM!CR82</f>
        <v>154</v>
      </c>
      <c r="N40" s="316">
        <f>+EST_ITM!CL82</f>
        <v>259</v>
      </c>
      <c r="O40" s="316">
        <f>+EST_ITM!DJ82</f>
        <v>890</v>
      </c>
      <c r="P40" s="316">
        <f>+EST_ITM!DV82</f>
        <v>521</v>
      </c>
      <c r="Q40" s="316">
        <f>+EST_ITM!DD82</f>
        <v>411</v>
      </c>
      <c r="R40" s="316">
        <f>+EST_ITM!EH82</f>
        <v>283</v>
      </c>
      <c r="S40" s="316">
        <f>+EST_ITM!EB82</f>
        <v>653</v>
      </c>
      <c r="T40" s="316">
        <f>+EST_ITM!BZ82</f>
        <v>235</v>
      </c>
      <c r="U40" s="316">
        <f>+EST_ITM!CX82</f>
        <v>256</v>
      </c>
      <c r="V40" s="316">
        <f>+EST_ITM!CF82</f>
        <v>202</v>
      </c>
      <c r="W40" s="316">
        <f>+EST_ITM!BT82</f>
        <v>252</v>
      </c>
      <c r="X40" s="316">
        <f>+EST_ITM!DP82</f>
        <v>2</v>
      </c>
      <c r="Y40" s="316">
        <f>+EST_ITM!EN82</f>
        <v>82</v>
      </c>
      <c r="Z40" s="335">
        <f>+EST_ITM!ET82</f>
        <v>8</v>
      </c>
      <c r="AA40" s="335">
        <f>+EST_ITM!EZ82</f>
        <v>2</v>
      </c>
      <c r="AB40" s="336">
        <f t="shared" si="9"/>
        <v>4210</v>
      </c>
      <c r="AC40" s="280">
        <f t="shared" si="4"/>
        <v>2</v>
      </c>
      <c r="AD40" s="286">
        <f t="shared" si="8"/>
        <v>4212</v>
      </c>
      <c r="AE40" t="str">
        <f t="shared" si="2"/>
        <v>Ago-Dic 2018</v>
      </c>
      <c r="AF40">
        <f t="shared" si="3"/>
        <v>35</v>
      </c>
    </row>
    <row r="41" spans="1:34" ht="13.5" thickBot="1" x14ac:dyDescent="0.25">
      <c r="A41">
        <v>36</v>
      </c>
      <c r="B41" s="289" t="s">
        <v>134</v>
      </c>
      <c r="C41" s="317">
        <f>+EST_ITM!AT83</f>
        <v>0</v>
      </c>
      <c r="D41" s="317">
        <f>+EST_ITM!AY83</f>
        <v>0</v>
      </c>
      <c r="E41" s="317">
        <f>+EST_ITM!Z83</f>
        <v>0</v>
      </c>
      <c r="F41" s="317">
        <f>+EST_ITM!AE83</f>
        <v>0</v>
      </c>
      <c r="G41" s="317">
        <f>+EST_ITM!AJ83</f>
        <v>0</v>
      </c>
      <c r="H41" s="317">
        <f>+EST_ITM!AO83</f>
        <v>0</v>
      </c>
      <c r="I41" s="317">
        <f>+EST_ITM!BD83</f>
        <v>0</v>
      </c>
      <c r="J41" s="317">
        <f>+EST_ITM!BI83</f>
        <v>0</v>
      </c>
      <c r="K41" s="317">
        <f>+EST_ITM!BN83</f>
        <v>0</v>
      </c>
      <c r="L41" s="283">
        <f t="shared" si="7"/>
        <v>0</v>
      </c>
      <c r="M41" s="316">
        <f>+EST_ITM!CR83</f>
        <v>163</v>
      </c>
      <c r="N41" s="316">
        <f>+EST_ITM!CL83</f>
        <v>264</v>
      </c>
      <c r="O41" s="316">
        <f>+EST_ITM!DJ83</f>
        <v>835</v>
      </c>
      <c r="P41" s="316">
        <f>+EST_ITM!DV83</f>
        <v>515</v>
      </c>
      <c r="Q41" s="316">
        <f>+EST_ITM!DD83</f>
        <v>375</v>
      </c>
      <c r="R41" s="316">
        <f>+EST_ITM!EH83</f>
        <v>289</v>
      </c>
      <c r="S41" s="316">
        <f>+EST_ITM!EB83</f>
        <v>620</v>
      </c>
      <c r="T41" s="316">
        <f>+EST_ITM!BZ83</f>
        <v>241</v>
      </c>
      <c r="U41" s="316">
        <f>+EST_ITM!CX83</f>
        <v>255</v>
      </c>
      <c r="V41" s="316">
        <f>+EST_ITM!CF83</f>
        <v>204</v>
      </c>
      <c r="W41" s="316">
        <f>+EST_ITM!BT83</f>
        <v>267</v>
      </c>
      <c r="X41" s="316">
        <f>+EST_ITM!DP83</f>
        <v>0</v>
      </c>
      <c r="Y41" s="316">
        <f>+EST_ITM!EN83</f>
        <v>51</v>
      </c>
      <c r="Z41" s="335">
        <f>+EST_ITM!ET83</f>
        <v>4</v>
      </c>
      <c r="AA41" s="335">
        <f>+EST_ITM!EZ83</f>
        <v>1</v>
      </c>
      <c r="AB41" s="336">
        <f t="shared" si="9"/>
        <v>4084</v>
      </c>
      <c r="AC41" s="280">
        <f t="shared" si="4"/>
        <v>0</v>
      </c>
      <c r="AD41" s="286">
        <f t="shared" si="8"/>
        <v>4084</v>
      </c>
      <c r="AE41" t="str">
        <f t="shared" si="2"/>
        <v>Feb-Jun 2019</v>
      </c>
      <c r="AF41">
        <f t="shared" si="3"/>
        <v>36</v>
      </c>
    </row>
    <row r="42" spans="1:34" ht="13.5" thickBot="1" x14ac:dyDescent="0.25">
      <c r="A42">
        <v>37</v>
      </c>
      <c r="B42" s="288" t="s">
        <v>141</v>
      </c>
      <c r="C42" s="317">
        <f>+EST_ITM!AT84</f>
        <v>0</v>
      </c>
      <c r="D42" s="317">
        <f>+EST_ITM!AY84</f>
        <v>0</v>
      </c>
      <c r="E42" s="317">
        <f>+EST_ITM!Z84</f>
        <v>0</v>
      </c>
      <c r="F42" s="317">
        <f>+EST_ITM!AE84</f>
        <v>0</v>
      </c>
      <c r="G42" s="317">
        <f>+EST_ITM!AJ84</f>
        <v>0</v>
      </c>
      <c r="H42" s="317">
        <f>+EST_ITM!AO84</f>
        <v>0</v>
      </c>
      <c r="I42" s="317">
        <f>+EST_ITM!BD84</f>
        <v>0</v>
      </c>
      <c r="J42" s="317">
        <f>+EST_ITM!BI84</f>
        <v>0</v>
      </c>
      <c r="K42" s="317">
        <f>+EST_ITM!BN84</f>
        <v>0</v>
      </c>
      <c r="L42" s="283">
        <f t="shared" si="7"/>
        <v>0</v>
      </c>
      <c r="M42" s="316">
        <f>+EST_ITM!CR84</f>
        <v>174</v>
      </c>
      <c r="N42" s="316">
        <f>+EST_ITM!CL84</f>
        <v>265</v>
      </c>
      <c r="O42" s="316">
        <f>+EST_ITM!DJ84</f>
        <v>832</v>
      </c>
      <c r="P42" s="316">
        <f>+EST_ITM!DV84</f>
        <v>531</v>
      </c>
      <c r="Q42" s="316">
        <f>+EST_ITM!DD84</f>
        <v>398</v>
      </c>
      <c r="R42" s="316">
        <f>+EST_ITM!EH84</f>
        <v>303</v>
      </c>
      <c r="S42" s="316">
        <f>+EST_ITM!EB84</f>
        <v>604</v>
      </c>
      <c r="T42" s="316">
        <f>+EST_ITM!BZ84</f>
        <v>235</v>
      </c>
      <c r="U42" s="316">
        <f>+EST_ITM!CX84</f>
        <v>245</v>
      </c>
      <c r="V42" s="316">
        <f>+EST_ITM!CF84</f>
        <v>238</v>
      </c>
      <c r="W42" s="316">
        <f>+EST_ITM!BT84</f>
        <v>268</v>
      </c>
      <c r="X42" s="316">
        <f>+EST_ITM!DP84</f>
        <v>0</v>
      </c>
      <c r="Y42" s="316">
        <f>+EST_ITM!EN84</f>
        <v>72</v>
      </c>
      <c r="Z42" s="335">
        <f>+EST_ITM!ET84</f>
        <v>4</v>
      </c>
      <c r="AA42" s="335">
        <f>+EST_ITM!EZ84</f>
        <v>3</v>
      </c>
      <c r="AB42" s="336">
        <f t="shared" ref="AB42:AB53" si="10">SUM(M42:AA42)</f>
        <v>4172</v>
      </c>
      <c r="AC42" s="280">
        <f t="shared" si="4"/>
        <v>0</v>
      </c>
      <c r="AD42" s="286">
        <f t="shared" si="8"/>
        <v>4172</v>
      </c>
      <c r="AE42" t="str">
        <f t="shared" si="2"/>
        <v>Ago-Dic 2019</v>
      </c>
      <c r="AF42">
        <f t="shared" si="3"/>
        <v>37</v>
      </c>
    </row>
    <row r="43" spans="1:34" ht="13.5" thickBot="1" x14ac:dyDescent="0.25">
      <c r="A43">
        <v>38</v>
      </c>
      <c r="B43" s="289" t="s">
        <v>135</v>
      </c>
      <c r="C43" s="317">
        <f>+EST_ITM!AT85</f>
        <v>0</v>
      </c>
      <c r="D43" s="317">
        <f>+EST_ITM!AY85</f>
        <v>0</v>
      </c>
      <c r="E43" s="317">
        <f>+EST_ITM!Z85</f>
        <v>0</v>
      </c>
      <c r="F43" s="317">
        <f>+EST_ITM!AE85</f>
        <v>0</v>
      </c>
      <c r="G43" s="317">
        <f>+EST_ITM!AJ85</f>
        <v>0</v>
      </c>
      <c r="H43" s="317">
        <f>+EST_ITM!AO85</f>
        <v>0</v>
      </c>
      <c r="I43" s="317">
        <f>+EST_ITM!BD85</f>
        <v>0</v>
      </c>
      <c r="J43" s="317">
        <f>+EST_ITM!BI85</f>
        <v>0</v>
      </c>
      <c r="K43" s="317">
        <f>+EST_ITM!BN85</f>
        <v>0</v>
      </c>
      <c r="L43" s="283">
        <f t="shared" si="7"/>
        <v>0</v>
      </c>
      <c r="M43" s="316">
        <f>+EST_ITM!CR85</f>
        <v>159</v>
      </c>
      <c r="N43" s="316">
        <f>+EST_ITM!CL85</f>
        <v>245</v>
      </c>
      <c r="O43" s="316">
        <f>+EST_ITM!DJ85</f>
        <v>827</v>
      </c>
      <c r="P43" s="316">
        <f>+EST_ITM!DV85</f>
        <v>501</v>
      </c>
      <c r="Q43" s="316">
        <f>+EST_ITM!DD85</f>
        <v>373</v>
      </c>
      <c r="R43" s="316">
        <f>+EST_ITM!EH85</f>
        <v>288</v>
      </c>
      <c r="S43" s="316">
        <f>+EST_ITM!EB85</f>
        <v>564</v>
      </c>
      <c r="T43" s="316">
        <f>+EST_ITM!BZ85</f>
        <v>225</v>
      </c>
      <c r="U43" s="316">
        <f>+EST_ITM!CX85</f>
        <v>230</v>
      </c>
      <c r="V43" s="316">
        <f>+EST_ITM!CF85</f>
        <v>223</v>
      </c>
      <c r="W43" s="316">
        <f>+EST_ITM!BT85</f>
        <v>258</v>
      </c>
      <c r="X43" s="316">
        <f>+EST_ITM!DP85</f>
        <v>0</v>
      </c>
      <c r="Y43" s="316">
        <f>+EST_ITM!EN85</f>
        <v>102</v>
      </c>
      <c r="Z43" s="335">
        <f>+EST_ITM!ET85</f>
        <v>3</v>
      </c>
      <c r="AA43" s="335">
        <f>+EST_ITM!EZ85</f>
        <v>0</v>
      </c>
      <c r="AB43" s="336">
        <f t="shared" si="10"/>
        <v>3998</v>
      </c>
      <c r="AC43" s="280">
        <f t="shared" si="4"/>
        <v>0</v>
      </c>
      <c r="AD43" s="286">
        <f t="shared" si="8"/>
        <v>3998</v>
      </c>
      <c r="AE43" t="str">
        <f t="shared" si="2"/>
        <v>Feb-Jun 2020</v>
      </c>
      <c r="AF43">
        <f t="shared" si="3"/>
        <v>38</v>
      </c>
    </row>
    <row r="44" spans="1:34" ht="13.5" thickBot="1" x14ac:dyDescent="0.25">
      <c r="A44">
        <v>39</v>
      </c>
      <c r="B44" s="288" t="s">
        <v>142</v>
      </c>
      <c r="C44" s="317">
        <f>+EST_ITM!AT86</f>
        <v>0</v>
      </c>
      <c r="D44" s="317">
        <f>+EST_ITM!AY86</f>
        <v>0</v>
      </c>
      <c r="E44" s="317">
        <f>+EST_ITM!Z86</f>
        <v>0</v>
      </c>
      <c r="F44" s="317">
        <f>+EST_ITM!AE86</f>
        <v>0</v>
      </c>
      <c r="G44" s="317">
        <f>+EST_ITM!AJ86</f>
        <v>0</v>
      </c>
      <c r="H44" s="317">
        <f>+EST_ITM!AO86</f>
        <v>0</v>
      </c>
      <c r="I44" s="317">
        <f>+EST_ITM!BD86</f>
        <v>0</v>
      </c>
      <c r="J44" s="317">
        <f>+EST_ITM!BI86</f>
        <v>0</v>
      </c>
      <c r="K44" s="317">
        <f>+EST_ITM!BN86</f>
        <v>0</v>
      </c>
      <c r="L44" s="283">
        <f t="shared" si="7"/>
        <v>0</v>
      </c>
      <c r="M44" s="316">
        <f>+EST_ITM!CR86</f>
        <v>169</v>
      </c>
      <c r="N44" s="316">
        <f>+EST_ITM!CL86</f>
        <v>260</v>
      </c>
      <c r="O44" s="316">
        <f>+EST_ITM!DJ86</f>
        <v>907</v>
      </c>
      <c r="P44" s="316">
        <f>+EST_ITM!DV86</f>
        <v>531</v>
      </c>
      <c r="Q44" s="316">
        <f>+EST_ITM!DD86</f>
        <v>413</v>
      </c>
      <c r="R44" s="316">
        <f>+EST_ITM!EH86</f>
        <v>323</v>
      </c>
      <c r="S44" s="316">
        <f>+EST_ITM!EB86</f>
        <v>654</v>
      </c>
      <c r="T44" s="316">
        <f>+EST_ITM!BZ86</f>
        <v>245</v>
      </c>
      <c r="U44" s="316">
        <f>+EST_ITM!CX86</f>
        <v>255</v>
      </c>
      <c r="V44" s="316">
        <f>+EST_ITM!CF86</f>
        <v>253</v>
      </c>
      <c r="W44" s="316">
        <f>+EST_ITM!BT86</f>
        <v>268</v>
      </c>
      <c r="X44" s="316">
        <f>+EST_ITM!DP86</f>
        <v>0</v>
      </c>
      <c r="Y44" s="316">
        <f>+EST_ITM!EN86</f>
        <v>112</v>
      </c>
      <c r="Z44" s="335">
        <f>+EST_ITM!ET86</f>
        <v>3</v>
      </c>
      <c r="AA44" s="335">
        <f>+EST_ITM!EZ86</f>
        <v>0</v>
      </c>
      <c r="AB44" s="336">
        <f t="shared" si="10"/>
        <v>4393</v>
      </c>
      <c r="AC44" s="280">
        <f t="shared" si="4"/>
        <v>0</v>
      </c>
      <c r="AD44" s="286">
        <f t="shared" si="8"/>
        <v>4393</v>
      </c>
      <c r="AE44" t="str">
        <f t="shared" si="2"/>
        <v>Ago-Dic 2020</v>
      </c>
      <c r="AF44">
        <f t="shared" si="3"/>
        <v>39</v>
      </c>
    </row>
    <row r="45" spans="1:34" ht="13.5" thickBot="1" x14ac:dyDescent="0.25">
      <c r="A45">
        <v>40</v>
      </c>
      <c r="B45" s="289" t="s">
        <v>136</v>
      </c>
      <c r="C45" s="317">
        <f>+EST_ITM!AT87</f>
        <v>0</v>
      </c>
      <c r="D45" s="317">
        <f>+EST_ITM!AY87</f>
        <v>0</v>
      </c>
      <c r="E45" s="317">
        <f>+EST_ITM!Z87</f>
        <v>0</v>
      </c>
      <c r="F45" s="317">
        <f>+EST_ITM!AE87</f>
        <v>0</v>
      </c>
      <c r="G45" s="317">
        <f>+EST_ITM!AJ87</f>
        <v>0</v>
      </c>
      <c r="H45" s="317">
        <f>+EST_ITM!AO87</f>
        <v>0</v>
      </c>
      <c r="I45" s="317">
        <f>+EST_ITM!BD87</f>
        <v>0</v>
      </c>
      <c r="J45" s="317">
        <f>+EST_ITM!BI87</f>
        <v>0</v>
      </c>
      <c r="K45" s="317">
        <f>+EST_ITM!BN87</f>
        <v>0</v>
      </c>
      <c r="L45" s="283">
        <f t="shared" si="7"/>
        <v>0</v>
      </c>
      <c r="M45" s="316">
        <f>+EST_ITM!CR87</f>
        <v>159</v>
      </c>
      <c r="N45" s="316">
        <f>+EST_ITM!CL87</f>
        <v>240</v>
      </c>
      <c r="O45" s="316">
        <f>+EST_ITM!DJ87</f>
        <v>902</v>
      </c>
      <c r="P45" s="316">
        <f>+EST_ITM!DV87</f>
        <v>501</v>
      </c>
      <c r="Q45" s="316">
        <f>+EST_ITM!DD87</f>
        <v>388</v>
      </c>
      <c r="R45" s="316">
        <f>+EST_ITM!EH87</f>
        <v>308</v>
      </c>
      <c r="S45" s="316">
        <f>+EST_ITM!EB87</f>
        <v>614</v>
      </c>
      <c r="T45" s="316">
        <f>+EST_ITM!BZ87</f>
        <v>235</v>
      </c>
      <c r="U45" s="316">
        <f>+EST_ITM!CX87</f>
        <v>240</v>
      </c>
      <c r="V45" s="316">
        <f>+EST_ITM!CF87</f>
        <v>238</v>
      </c>
      <c r="W45" s="316">
        <f>+EST_ITM!BT87</f>
        <v>258</v>
      </c>
      <c r="X45" s="316">
        <f>+EST_ITM!DP87</f>
        <v>0</v>
      </c>
      <c r="Y45" s="316">
        <f>+EST_ITM!EN87</f>
        <v>127</v>
      </c>
      <c r="Z45" s="335">
        <f>+EST_ITM!ET87</f>
        <v>2</v>
      </c>
      <c r="AA45" s="335">
        <f>+EST_ITM!EZ87</f>
        <v>0</v>
      </c>
      <c r="AB45" s="336">
        <f t="shared" si="10"/>
        <v>4212</v>
      </c>
      <c r="AC45" s="280">
        <f t="shared" si="4"/>
        <v>0</v>
      </c>
      <c r="AD45" s="286">
        <f t="shared" si="8"/>
        <v>4212</v>
      </c>
      <c r="AE45" t="str">
        <f t="shared" si="2"/>
        <v>Feb-Jun 2021</v>
      </c>
      <c r="AF45">
        <f t="shared" si="3"/>
        <v>40</v>
      </c>
    </row>
    <row r="46" spans="1:34" ht="13.5" thickBot="1" x14ac:dyDescent="0.25">
      <c r="A46">
        <v>41</v>
      </c>
      <c r="B46" s="288" t="s">
        <v>143</v>
      </c>
      <c r="C46" s="317">
        <f>+EST_ITM!AT88</f>
        <v>0</v>
      </c>
      <c r="D46" s="317">
        <f>+EST_ITM!AY88</f>
        <v>0</v>
      </c>
      <c r="E46" s="317">
        <f>+EST_ITM!Z88</f>
        <v>0</v>
      </c>
      <c r="F46" s="317">
        <f>+EST_ITM!AE88</f>
        <v>0</v>
      </c>
      <c r="G46" s="317">
        <f>+EST_ITM!AJ88</f>
        <v>0</v>
      </c>
      <c r="H46" s="317">
        <f>+EST_ITM!AO88</f>
        <v>0</v>
      </c>
      <c r="I46" s="317">
        <f>+EST_ITM!BD88</f>
        <v>0</v>
      </c>
      <c r="J46" s="317">
        <f>+EST_ITM!BI88</f>
        <v>0</v>
      </c>
      <c r="K46" s="317">
        <f>+EST_ITM!BN88</f>
        <v>0</v>
      </c>
      <c r="L46" s="283">
        <f t="shared" si="7"/>
        <v>0</v>
      </c>
      <c r="M46" s="316">
        <f>+EST_ITM!CR88</f>
        <v>169</v>
      </c>
      <c r="N46" s="316">
        <f>+EST_ITM!CL88</f>
        <v>255</v>
      </c>
      <c r="O46" s="316">
        <f>+EST_ITM!DJ88</f>
        <v>982</v>
      </c>
      <c r="P46" s="316">
        <f>+EST_ITM!DV88</f>
        <v>531</v>
      </c>
      <c r="Q46" s="316">
        <f>+EST_ITM!DD88</f>
        <v>428</v>
      </c>
      <c r="R46" s="316">
        <f>+EST_ITM!EH88</f>
        <v>343</v>
      </c>
      <c r="S46" s="316">
        <f>+EST_ITM!EB88</f>
        <v>704</v>
      </c>
      <c r="T46" s="316">
        <f>+EST_ITM!BZ88</f>
        <v>255</v>
      </c>
      <c r="U46" s="316">
        <f>+EST_ITM!CX88</f>
        <v>265</v>
      </c>
      <c r="V46" s="316">
        <f>+EST_ITM!CF88</f>
        <v>268</v>
      </c>
      <c r="W46" s="316">
        <f>+EST_ITM!BT88</f>
        <v>268</v>
      </c>
      <c r="X46" s="316">
        <f>+EST_ITM!DP88</f>
        <v>0</v>
      </c>
      <c r="Y46" s="316">
        <f>+EST_ITM!EN88</f>
        <v>137</v>
      </c>
      <c r="Z46" s="335">
        <f>+EST_ITM!ET88</f>
        <v>3</v>
      </c>
      <c r="AA46" s="335">
        <f>+EST_ITM!EZ88</f>
        <v>0</v>
      </c>
      <c r="AB46" s="336">
        <f t="shared" si="10"/>
        <v>4608</v>
      </c>
      <c r="AC46" s="280">
        <f t="shared" si="4"/>
        <v>0</v>
      </c>
      <c r="AD46" s="286">
        <f t="shared" si="8"/>
        <v>4608</v>
      </c>
      <c r="AE46" t="str">
        <f t="shared" si="2"/>
        <v>Ago-Dic 2021</v>
      </c>
      <c r="AF46">
        <f t="shared" si="3"/>
        <v>41</v>
      </c>
    </row>
    <row r="47" spans="1:34" ht="13.5" thickBot="1" x14ac:dyDescent="0.25">
      <c r="A47">
        <v>42</v>
      </c>
      <c r="B47" s="289" t="s">
        <v>137</v>
      </c>
      <c r="C47" s="317">
        <f>+EST_ITM!AT89</f>
        <v>0</v>
      </c>
      <c r="D47" s="317">
        <f>+EST_ITM!AY89</f>
        <v>0</v>
      </c>
      <c r="E47" s="317">
        <f>+EST_ITM!Z89</f>
        <v>0</v>
      </c>
      <c r="F47" s="317">
        <f>+EST_ITM!AE89</f>
        <v>0</v>
      </c>
      <c r="G47" s="317">
        <f>+EST_ITM!AJ89</f>
        <v>0</v>
      </c>
      <c r="H47" s="317">
        <f>+EST_ITM!AO89</f>
        <v>0</v>
      </c>
      <c r="I47" s="317">
        <f>+EST_ITM!BD89</f>
        <v>0</v>
      </c>
      <c r="J47" s="317">
        <f>+EST_ITM!BI89</f>
        <v>0</v>
      </c>
      <c r="K47" s="317">
        <f>+EST_ITM!BN89</f>
        <v>0</v>
      </c>
      <c r="L47" s="283">
        <f t="shared" si="7"/>
        <v>0</v>
      </c>
      <c r="M47" s="316">
        <f>+EST_ITM!CR89</f>
        <v>159</v>
      </c>
      <c r="N47" s="316">
        <f>+EST_ITM!CL89</f>
        <v>235</v>
      </c>
      <c r="O47" s="316">
        <f>+EST_ITM!DJ89</f>
        <v>967</v>
      </c>
      <c r="P47" s="316">
        <f>+EST_ITM!DV89</f>
        <v>501</v>
      </c>
      <c r="Q47" s="316">
        <f>+EST_ITM!DD89</f>
        <v>403</v>
      </c>
      <c r="R47" s="316">
        <f>+EST_ITM!EH89</f>
        <v>328</v>
      </c>
      <c r="S47" s="316">
        <f>+EST_ITM!EB89</f>
        <v>664</v>
      </c>
      <c r="T47" s="316">
        <f>+EST_ITM!BZ89</f>
        <v>245</v>
      </c>
      <c r="U47" s="316">
        <f>+EST_ITM!CX89</f>
        <v>250</v>
      </c>
      <c r="V47" s="316">
        <f>+EST_ITM!CF89</f>
        <v>248</v>
      </c>
      <c r="W47" s="316">
        <f>+EST_ITM!BT89</f>
        <v>258</v>
      </c>
      <c r="X47" s="316">
        <f>+EST_ITM!DP89</f>
        <v>0</v>
      </c>
      <c r="Y47" s="316">
        <f>+EST_ITM!EN89</f>
        <v>152</v>
      </c>
      <c r="Z47" s="335">
        <f>+EST_ITM!ET89</f>
        <v>2</v>
      </c>
      <c r="AA47" s="335">
        <f>+EST_ITM!EZ89</f>
        <v>0</v>
      </c>
      <c r="AB47" s="336">
        <f t="shared" si="10"/>
        <v>4412</v>
      </c>
      <c r="AC47" s="280">
        <f t="shared" si="4"/>
        <v>0</v>
      </c>
      <c r="AD47" s="286">
        <f t="shared" si="8"/>
        <v>4412</v>
      </c>
      <c r="AE47" t="str">
        <f t="shared" si="2"/>
        <v>Feb-Jun 2022</v>
      </c>
      <c r="AF47">
        <f t="shared" si="3"/>
        <v>42</v>
      </c>
    </row>
    <row r="48" spans="1:34" ht="13.5" thickBot="1" x14ac:dyDescent="0.25">
      <c r="A48">
        <v>43</v>
      </c>
      <c r="B48" s="288" t="s">
        <v>144</v>
      </c>
      <c r="C48" s="317">
        <f>+EST_ITM!AT90</f>
        <v>0</v>
      </c>
      <c r="D48" s="317">
        <f>+EST_ITM!AY90</f>
        <v>0</v>
      </c>
      <c r="E48" s="317">
        <f>+EST_ITM!Z90</f>
        <v>0</v>
      </c>
      <c r="F48" s="317">
        <f>+EST_ITM!AE90</f>
        <v>0</v>
      </c>
      <c r="G48" s="317">
        <f>+EST_ITM!AJ90</f>
        <v>0</v>
      </c>
      <c r="H48" s="317">
        <f>+EST_ITM!AO90</f>
        <v>0</v>
      </c>
      <c r="I48" s="317">
        <f>+EST_ITM!BD90</f>
        <v>0</v>
      </c>
      <c r="J48" s="317">
        <f>+EST_ITM!BI90</f>
        <v>0</v>
      </c>
      <c r="K48" s="317">
        <f>+EST_ITM!BN90</f>
        <v>0</v>
      </c>
      <c r="L48" s="283">
        <f t="shared" si="7"/>
        <v>0</v>
      </c>
      <c r="M48" s="316">
        <f>+EST_ITM!CR90</f>
        <v>169</v>
      </c>
      <c r="N48" s="316">
        <f>+EST_ITM!CL90</f>
        <v>250</v>
      </c>
      <c r="O48" s="316">
        <f>+EST_ITM!DJ90</f>
        <v>1037</v>
      </c>
      <c r="P48" s="316">
        <f>+EST_ITM!DV90</f>
        <v>531</v>
      </c>
      <c r="Q48" s="316">
        <f>+EST_ITM!DD90</f>
        <v>443</v>
      </c>
      <c r="R48" s="316">
        <f>+EST_ITM!EH90</f>
        <v>363</v>
      </c>
      <c r="S48" s="316">
        <f>+EST_ITM!EB90</f>
        <v>754</v>
      </c>
      <c r="T48" s="316">
        <f>+EST_ITM!BZ90</f>
        <v>265</v>
      </c>
      <c r="U48" s="316">
        <f>+EST_ITM!CX90</f>
        <v>275</v>
      </c>
      <c r="V48" s="316">
        <f>+EST_ITM!CF90</f>
        <v>273</v>
      </c>
      <c r="W48" s="316">
        <f>+EST_ITM!BT90</f>
        <v>268</v>
      </c>
      <c r="X48" s="316">
        <f>+EST_ITM!DP90</f>
        <v>0</v>
      </c>
      <c r="Y48" s="316">
        <f>+EST_ITM!EN90</f>
        <v>162</v>
      </c>
      <c r="Z48" s="335">
        <f>+EST_ITM!ET90</f>
        <v>7</v>
      </c>
      <c r="AA48" s="335">
        <f>+EST_ITM!EZ90</f>
        <v>0</v>
      </c>
      <c r="AB48" s="336">
        <f t="shared" si="10"/>
        <v>4797</v>
      </c>
      <c r="AC48" s="280">
        <f t="shared" si="4"/>
        <v>0</v>
      </c>
      <c r="AD48" s="286">
        <f t="shared" si="8"/>
        <v>4797</v>
      </c>
      <c r="AE48" t="str">
        <f t="shared" si="2"/>
        <v>Ago-Dic 2022</v>
      </c>
      <c r="AF48">
        <f t="shared" si="3"/>
        <v>43</v>
      </c>
    </row>
    <row r="49" spans="1:32" ht="13.5" thickBot="1" x14ac:dyDescent="0.25">
      <c r="A49">
        <v>44</v>
      </c>
      <c r="B49" s="289" t="s">
        <v>138</v>
      </c>
      <c r="C49" s="317">
        <f>+EST_ITM!AT91</f>
        <v>0</v>
      </c>
      <c r="D49" s="317">
        <f>+EST_ITM!AY91</f>
        <v>0</v>
      </c>
      <c r="E49" s="317">
        <f>+EST_ITM!Z91</f>
        <v>0</v>
      </c>
      <c r="F49" s="317">
        <f>+EST_ITM!AE91</f>
        <v>0</v>
      </c>
      <c r="G49" s="317">
        <f>+EST_ITM!AJ91</f>
        <v>0</v>
      </c>
      <c r="H49" s="317">
        <f>+EST_ITM!AO91</f>
        <v>0</v>
      </c>
      <c r="I49" s="317">
        <f>+EST_ITM!BD91</f>
        <v>0</v>
      </c>
      <c r="J49" s="317">
        <f>+EST_ITM!BI91</f>
        <v>0</v>
      </c>
      <c r="K49" s="317">
        <f>+EST_ITM!BN91</f>
        <v>0</v>
      </c>
      <c r="L49" s="283">
        <f t="shared" si="7"/>
        <v>0</v>
      </c>
      <c r="M49" s="316">
        <f>+EST_ITM!CR91</f>
        <v>159</v>
      </c>
      <c r="N49" s="316">
        <f>+EST_ITM!CL91</f>
        <v>230</v>
      </c>
      <c r="O49" s="316">
        <f>+EST_ITM!DJ91</f>
        <v>1022</v>
      </c>
      <c r="P49" s="316">
        <f>+EST_ITM!DV91</f>
        <v>501</v>
      </c>
      <c r="Q49" s="316">
        <f>+EST_ITM!DD91</f>
        <v>418</v>
      </c>
      <c r="R49" s="316">
        <f>+EST_ITM!EH91</f>
        <v>348</v>
      </c>
      <c r="S49" s="316">
        <f>+EST_ITM!EB91</f>
        <v>714</v>
      </c>
      <c r="T49" s="316">
        <f>+EST_ITM!BZ91</f>
        <v>255</v>
      </c>
      <c r="U49" s="316">
        <f>+EST_ITM!CX91</f>
        <v>260</v>
      </c>
      <c r="V49" s="316">
        <f>+EST_ITM!CF91</f>
        <v>253</v>
      </c>
      <c r="W49" s="316">
        <f>+EST_ITM!BT91</f>
        <v>258</v>
      </c>
      <c r="X49" s="316">
        <f>+EST_ITM!DP91</f>
        <v>0</v>
      </c>
      <c r="Y49" s="316">
        <f>+EST_ITM!EN91</f>
        <v>177</v>
      </c>
      <c r="Z49" s="335">
        <f>+EST_ITM!ET91</f>
        <v>6</v>
      </c>
      <c r="AA49" s="335">
        <f>+EST_ITM!EZ91</f>
        <v>0</v>
      </c>
      <c r="AB49" s="336">
        <f t="shared" si="10"/>
        <v>4601</v>
      </c>
      <c r="AC49" s="280">
        <f t="shared" si="4"/>
        <v>0</v>
      </c>
      <c r="AD49" s="286">
        <f t="shared" si="8"/>
        <v>4601</v>
      </c>
      <c r="AE49" t="str">
        <f t="shared" si="2"/>
        <v>Feb-Jun 2023</v>
      </c>
      <c r="AF49">
        <f t="shared" si="3"/>
        <v>44</v>
      </c>
    </row>
    <row r="50" spans="1:32" ht="13.5" thickBot="1" x14ac:dyDescent="0.25">
      <c r="A50">
        <v>45</v>
      </c>
      <c r="B50" s="288" t="s">
        <v>145</v>
      </c>
      <c r="C50" s="317">
        <f>+EST_ITM!AT92</f>
        <v>0</v>
      </c>
      <c r="D50" s="317">
        <f>+EST_ITM!AY92</f>
        <v>0</v>
      </c>
      <c r="E50" s="317">
        <f>+EST_ITM!Z92</f>
        <v>0</v>
      </c>
      <c r="F50" s="317">
        <f>+EST_ITM!AE92</f>
        <v>0</v>
      </c>
      <c r="G50" s="317">
        <f>+EST_ITM!AJ92</f>
        <v>0</v>
      </c>
      <c r="H50" s="317">
        <f>+EST_ITM!AO92</f>
        <v>0</v>
      </c>
      <c r="I50" s="317">
        <f>+EST_ITM!BD92</f>
        <v>0</v>
      </c>
      <c r="J50" s="317">
        <f>+EST_ITM!BI92</f>
        <v>0</v>
      </c>
      <c r="K50" s="317">
        <f>+EST_ITM!BN92</f>
        <v>0</v>
      </c>
      <c r="L50" s="283">
        <f t="shared" si="7"/>
        <v>0</v>
      </c>
      <c r="M50" s="316">
        <f>+EST_ITM!CR92</f>
        <v>169</v>
      </c>
      <c r="N50" s="316">
        <f>+EST_ITM!CL92</f>
        <v>245</v>
      </c>
      <c r="O50" s="316">
        <f>+EST_ITM!DJ92</f>
        <v>1092</v>
      </c>
      <c r="P50" s="316">
        <f>+EST_ITM!DV92</f>
        <v>531</v>
      </c>
      <c r="Q50" s="316">
        <f>+EST_ITM!DD92</f>
        <v>458</v>
      </c>
      <c r="R50" s="316">
        <f>+EST_ITM!EH92</f>
        <v>383</v>
      </c>
      <c r="S50" s="316">
        <f>+EST_ITM!EB92</f>
        <v>804</v>
      </c>
      <c r="T50" s="316">
        <f>+EST_ITM!BZ92</f>
        <v>275</v>
      </c>
      <c r="U50" s="316">
        <f>+EST_ITM!CX92</f>
        <v>285</v>
      </c>
      <c r="V50" s="316">
        <f>+EST_ITM!CF92</f>
        <v>278</v>
      </c>
      <c r="W50" s="316">
        <f>+EST_ITM!BT92</f>
        <v>268</v>
      </c>
      <c r="X50" s="316">
        <f>+EST_ITM!DP92</f>
        <v>0</v>
      </c>
      <c r="Y50" s="316">
        <f>+EST_ITM!EN92</f>
        <v>187</v>
      </c>
      <c r="Z50" s="335">
        <f>+EST_ITM!ET92</f>
        <v>7</v>
      </c>
      <c r="AA50" s="335">
        <f>+EST_ITM!EZ92</f>
        <v>0</v>
      </c>
      <c r="AB50" s="336">
        <f t="shared" si="10"/>
        <v>4982</v>
      </c>
      <c r="AC50" s="280">
        <f t="shared" si="4"/>
        <v>0</v>
      </c>
      <c r="AD50" s="286">
        <f t="shared" si="8"/>
        <v>4982</v>
      </c>
      <c r="AE50" t="str">
        <f t="shared" si="2"/>
        <v>Ago-Dic 2023</v>
      </c>
      <c r="AF50">
        <f t="shared" si="3"/>
        <v>45</v>
      </c>
    </row>
    <row r="51" spans="1:32" ht="13.5" thickBot="1" x14ac:dyDescent="0.25">
      <c r="A51">
        <v>46</v>
      </c>
      <c r="B51" s="289" t="s">
        <v>139</v>
      </c>
      <c r="C51" s="317">
        <f>+EST_ITM!AT93</f>
        <v>0</v>
      </c>
      <c r="D51" s="317">
        <f>+EST_ITM!AY93</f>
        <v>0</v>
      </c>
      <c r="E51" s="317">
        <f>+EST_ITM!Z93</f>
        <v>0</v>
      </c>
      <c r="F51" s="317">
        <f>+EST_ITM!AE93</f>
        <v>0</v>
      </c>
      <c r="G51" s="317">
        <f>+EST_ITM!AJ93</f>
        <v>0</v>
      </c>
      <c r="H51" s="317">
        <f>+EST_ITM!AO93</f>
        <v>0</v>
      </c>
      <c r="I51" s="317">
        <f>+EST_ITM!BD93</f>
        <v>0</v>
      </c>
      <c r="J51" s="317">
        <f>+EST_ITM!BI93</f>
        <v>0</v>
      </c>
      <c r="K51" s="317">
        <f>+EST_ITM!BN93</f>
        <v>0</v>
      </c>
      <c r="L51" s="283">
        <f t="shared" si="7"/>
        <v>0</v>
      </c>
      <c r="M51" s="316">
        <f>+EST_ITM!CR93</f>
        <v>159</v>
      </c>
      <c r="N51" s="316">
        <f>+EST_ITM!CL93</f>
        <v>225</v>
      </c>
      <c r="O51" s="316">
        <f>+EST_ITM!DJ93</f>
        <v>1077</v>
      </c>
      <c r="P51" s="316">
        <f>+EST_ITM!DV93</f>
        <v>501</v>
      </c>
      <c r="Q51" s="316">
        <f>+EST_ITM!DD93</f>
        <v>433</v>
      </c>
      <c r="R51" s="316">
        <f>+EST_ITM!EH93</f>
        <v>368</v>
      </c>
      <c r="S51" s="316">
        <f>+EST_ITM!EB93</f>
        <v>764</v>
      </c>
      <c r="T51" s="316">
        <f>+EST_ITM!BZ93</f>
        <v>265</v>
      </c>
      <c r="U51" s="316">
        <f>+EST_ITM!CX93</f>
        <v>270</v>
      </c>
      <c r="V51" s="316">
        <f>+EST_ITM!CF93</f>
        <v>253</v>
      </c>
      <c r="W51" s="316">
        <f>+EST_ITM!BT93</f>
        <v>258</v>
      </c>
      <c r="X51" s="316">
        <f>+EST_ITM!DP93</f>
        <v>0</v>
      </c>
      <c r="Y51" s="316">
        <f>+EST_ITM!EN93</f>
        <v>202</v>
      </c>
      <c r="Z51" s="335">
        <f>+EST_ITM!ET93</f>
        <v>6</v>
      </c>
      <c r="AA51" s="335">
        <f>+EST_ITM!EZ93</f>
        <v>0</v>
      </c>
      <c r="AB51" s="336">
        <f t="shared" si="10"/>
        <v>4781</v>
      </c>
      <c r="AC51" s="280">
        <f t="shared" si="4"/>
        <v>0</v>
      </c>
      <c r="AD51" s="286">
        <f t="shared" si="8"/>
        <v>4781</v>
      </c>
      <c r="AE51" t="str">
        <f t="shared" si="2"/>
        <v>Feb-Jun 2024</v>
      </c>
      <c r="AF51">
        <f t="shared" si="3"/>
        <v>46</v>
      </c>
    </row>
    <row r="52" spans="1:32" ht="13.5" thickBot="1" x14ac:dyDescent="0.25">
      <c r="A52">
        <v>47</v>
      </c>
      <c r="B52" s="288" t="s">
        <v>146</v>
      </c>
      <c r="C52" s="317">
        <f>+EST_ITM!AT94</f>
        <v>0</v>
      </c>
      <c r="D52" s="317">
        <f>+EST_ITM!AY94</f>
        <v>0</v>
      </c>
      <c r="E52" s="317">
        <f>+EST_ITM!Z94</f>
        <v>0</v>
      </c>
      <c r="F52" s="317">
        <f>+EST_ITM!AE94</f>
        <v>0</v>
      </c>
      <c r="G52" s="317">
        <f>+EST_ITM!AJ94</f>
        <v>0</v>
      </c>
      <c r="H52" s="317">
        <f>+EST_ITM!AO94</f>
        <v>0</v>
      </c>
      <c r="I52" s="317">
        <f>+EST_ITM!BD94</f>
        <v>0</v>
      </c>
      <c r="J52" s="317">
        <f>+EST_ITM!BI94</f>
        <v>0</v>
      </c>
      <c r="K52" s="317">
        <f>+EST_ITM!BN94</f>
        <v>0</v>
      </c>
      <c r="L52" s="283">
        <f t="shared" si="7"/>
        <v>0</v>
      </c>
      <c r="M52" s="316">
        <f>+EST_ITM!CR94</f>
        <v>169</v>
      </c>
      <c r="N52" s="316">
        <f>+EST_ITM!CL94</f>
        <v>240</v>
      </c>
      <c r="O52" s="316">
        <f>+EST_ITM!DJ94</f>
        <v>1147</v>
      </c>
      <c r="P52" s="316">
        <f>+EST_ITM!DV94</f>
        <v>531</v>
      </c>
      <c r="Q52" s="316">
        <f>+EST_ITM!DD94</f>
        <v>473</v>
      </c>
      <c r="R52" s="316">
        <f>+EST_ITM!EH94</f>
        <v>403</v>
      </c>
      <c r="S52" s="316">
        <f>+EST_ITM!EB94</f>
        <v>854</v>
      </c>
      <c r="T52" s="316">
        <f>+EST_ITM!BZ94</f>
        <v>285</v>
      </c>
      <c r="U52" s="316">
        <f>+EST_ITM!CX94</f>
        <v>295</v>
      </c>
      <c r="V52" s="316">
        <f>+EST_ITM!CF94</f>
        <v>273</v>
      </c>
      <c r="W52" s="316">
        <f>+EST_ITM!BT94</f>
        <v>268</v>
      </c>
      <c r="X52" s="316">
        <f>+EST_ITM!DP94</f>
        <v>0</v>
      </c>
      <c r="Y52" s="316">
        <f>+EST_ITM!EN94</f>
        <v>212</v>
      </c>
      <c r="Z52" s="335">
        <f>+EST_ITM!ET94</f>
        <v>7</v>
      </c>
      <c r="AA52" s="335">
        <f>+EST_ITM!EZ94</f>
        <v>0</v>
      </c>
      <c r="AB52" s="336">
        <f t="shared" si="10"/>
        <v>5157</v>
      </c>
      <c r="AC52" s="280">
        <f t="shared" si="4"/>
        <v>0</v>
      </c>
      <c r="AD52" s="286">
        <f t="shared" si="8"/>
        <v>5157</v>
      </c>
      <c r="AE52" t="str">
        <f t="shared" si="2"/>
        <v>Ago-Dic 2024</v>
      </c>
      <c r="AF52">
        <f t="shared" si="3"/>
        <v>47</v>
      </c>
    </row>
    <row r="53" spans="1:32" ht="13.5" thickBot="1" x14ac:dyDescent="0.25">
      <c r="A53">
        <v>48</v>
      </c>
      <c r="B53" s="289" t="s">
        <v>140</v>
      </c>
      <c r="C53" s="317">
        <f>+EST_ITM!AT95</f>
        <v>0</v>
      </c>
      <c r="D53" s="317">
        <f>+EST_ITM!AY95</f>
        <v>0</v>
      </c>
      <c r="E53" s="317">
        <f>+EST_ITM!Z95</f>
        <v>0</v>
      </c>
      <c r="F53" s="317">
        <f>+EST_ITM!AE95</f>
        <v>0</v>
      </c>
      <c r="G53" s="317">
        <f>+EST_ITM!AJ95</f>
        <v>0</v>
      </c>
      <c r="H53" s="317">
        <f>+EST_ITM!AO95</f>
        <v>0</v>
      </c>
      <c r="I53" s="317">
        <f>+EST_ITM!BD95</f>
        <v>0</v>
      </c>
      <c r="J53" s="317">
        <f>+EST_ITM!BI95</f>
        <v>0</v>
      </c>
      <c r="K53" s="317">
        <f>+EST_ITM!BN95</f>
        <v>0</v>
      </c>
      <c r="L53" s="283">
        <f t="shared" si="7"/>
        <v>0</v>
      </c>
      <c r="M53" s="316">
        <f>+EST_ITM!CR95</f>
        <v>159</v>
      </c>
      <c r="N53" s="316">
        <f>+EST_ITM!CL95</f>
        <v>220</v>
      </c>
      <c r="O53" s="316">
        <f>+EST_ITM!DJ95</f>
        <v>1132</v>
      </c>
      <c r="P53" s="316">
        <f>+EST_ITM!DV95</f>
        <v>501</v>
      </c>
      <c r="Q53" s="316">
        <f>+EST_ITM!DD95</f>
        <v>448</v>
      </c>
      <c r="R53" s="316">
        <f>+EST_ITM!EH95</f>
        <v>388</v>
      </c>
      <c r="S53" s="316">
        <f>+EST_ITM!EB95</f>
        <v>814</v>
      </c>
      <c r="T53" s="316">
        <f>+EST_ITM!BZ95</f>
        <v>275</v>
      </c>
      <c r="U53" s="316">
        <f>+EST_ITM!CX95</f>
        <v>280</v>
      </c>
      <c r="V53" s="316">
        <f>+EST_ITM!CF95</f>
        <v>248</v>
      </c>
      <c r="W53" s="316">
        <f>+EST_ITM!BT95</f>
        <v>258</v>
      </c>
      <c r="X53" s="316">
        <f>+EST_ITM!DP95</f>
        <v>0</v>
      </c>
      <c r="Y53" s="316">
        <f>+EST_ITM!EN95</f>
        <v>227</v>
      </c>
      <c r="Z53" s="335">
        <f>+EST_ITM!ET95</f>
        <v>6</v>
      </c>
      <c r="AA53" s="335">
        <f>+EST_ITM!EZ95</f>
        <v>0</v>
      </c>
      <c r="AB53" s="336">
        <f t="shared" si="10"/>
        <v>4956</v>
      </c>
      <c r="AC53" s="280">
        <f t="shared" si="4"/>
        <v>0</v>
      </c>
      <c r="AD53" s="286">
        <f t="shared" si="8"/>
        <v>4956</v>
      </c>
      <c r="AE53" t="str">
        <f t="shared" si="2"/>
        <v>Feb-Jun 2025</v>
      </c>
      <c r="AF53">
        <f t="shared" si="3"/>
        <v>48</v>
      </c>
    </row>
    <row r="54" spans="1:32" ht="13.5" thickBot="1" x14ac:dyDescent="0.25">
      <c r="A54">
        <v>49</v>
      </c>
      <c r="B54" s="288" t="s">
        <v>147</v>
      </c>
      <c r="Y54" s="316">
        <f>+EST_ITM!EN96</f>
        <v>237</v>
      </c>
      <c r="Z54" s="335">
        <f>+EST_ITM!ET96</f>
        <v>10</v>
      </c>
      <c r="AA54" s="335">
        <f>+EST_ITM!EZ96</f>
        <v>0</v>
      </c>
      <c r="AC54" s="280">
        <f t="shared" si="4"/>
        <v>0</v>
      </c>
    </row>
    <row r="55" spans="1:32" ht="13.5" thickBot="1" x14ac:dyDescent="0.25">
      <c r="B55" s="289" t="s">
        <v>168</v>
      </c>
      <c r="Y55" s="316">
        <f>+EST_ITM!EN97</f>
        <v>0</v>
      </c>
      <c r="Z55" s="335">
        <f>+EST_ITM!ET97</f>
        <v>0</v>
      </c>
      <c r="AA55" s="335">
        <f>+EST_ITM!EZ97</f>
        <v>0</v>
      </c>
      <c r="AC55" s="280">
        <f t="shared" si="4"/>
        <v>0</v>
      </c>
    </row>
    <row r="56" spans="1:32" ht="13.5" thickBot="1" x14ac:dyDescent="0.25">
      <c r="B56" s="288" t="s">
        <v>169</v>
      </c>
      <c r="Y56" s="316">
        <f>+EST_ITM!EN98</f>
        <v>0</v>
      </c>
      <c r="Z56" s="335">
        <f>+EST_ITM!ET98</f>
        <v>0</v>
      </c>
      <c r="AA56" s="335">
        <f>+EST_ITM!EZ98</f>
        <v>0</v>
      </c>
      <c r="AC56" s="280">
        <f t="shared" si="4"/>
        <v>0</v>
      </c>
    </row>
    <row r="57" spans="1:32" ht="13.5" thickBot="1" x14ac:dyDescent="0.25">
      <c r="B57" s="289" t="s">
        <v>170</v>
      </c>
      <c r="Y57" s="316">
        <f>+EST_ITM!EN99</f>
        <v>0</v>
      </c>
      <c r="Z57" s="335">
        <f>+EST_ITM!ET99</f>
        <v>0</v>
      </c>
      <c r="AA57" s="335">
        <f>+EST_ITM!EZ99</f>
        <v>0</v>
      </c>
      <c r="AC57" s="280">
        <f t="shared" si="4"/>
        <v>0</v>
      </c>
    </row>
    <row r="58" spans="1:32" ht="13.5" thickBot="1" x14ac:dyDescent="0.25">
      <c r="B58" s="288" t="s">
        <v>171</v>
      </c>
      <c r="Y58" s="316">
        <f>+EST_ITM!EN100</f>
        <v>0</v>
      </c>
      <c r="Z58" s="335">
        <f>+EST_ITM!ET100</f>
        <v>0</v>
      </c>
      <c r="AA58" s="335">
        <f>+EST_ITM!EZ100</f>
        <v>0</v>
      </c>
      <c r="AC58" s="280">
        <f t="shared" si="4"/>
        <v>0</v>
      </c>
    </row>
    <row r="59" spans="1:32" ht="13.5" thickBot="1" x14ac:dyDescent="0.25">
      <c r="B59" s="289" t="s">
        <v>172</v>
      </c>
      <c r="Y59" s="316">
        <f>+EST_ITM!EN101</f>
        <v>0</v>
      </c>
      <c r="Z59" s="335">
        <f>+EST_ITM!ET101</f>
        <v>0</v>
      </c>
      <c r="AA59" s="335">
        <f>+EST_ITM!EZ101</f>
        <v>0</v>
      </c>
      <c r="AC59" s="280">
        <f t="shared" si="4"/>
        <v>0</v>
      </c>
    </row>
    <row r="60" spans="1:32" ht="13.5" thickBot="1" x14ac:dyDescent="0.25">
      <c r="B60" s="288" t="s">
        <v>173</v>
      </c>
      <c r="Y60" s="316">
        <f>+EST_ITM!EN102</f>
        <v>0</v>
      </c>
      <c r="Z60" s="335">
        <f>+EST_ITM!ET102</f>
        <v>0</v>
      </c>
      <c r="AA60" s="335">
        <f>+EST_ITM!EZ102</f>
        <v>0</v>
      </c>
      <c r="AC60" s="280">
        <f t="shared" si="4"/>
        <v>0</v>
      </c>
    </row>
    <row r="61" spans="1:32" ht="13.5" thickBot="1" x14ac:dyDescent="0.25">
      <c r="B61" s="289" t="s">
        <v>174</v>
      </c>
      <c r="Y61" s="316">
        <f>+EST_ITM!EN103</f>
        <v>0</v>
      </c>
      <c r="Z61" s="335">
        <f>+EST_ITM!ET103</f>
        <v>0</v>
      </c>
      <c r="AA61" s="335">
        <f>+EST_ITM!EZ103</f>
        <v>0</v>
      </c>
      <c r="AC61" s="280">
        <f t="shared" si="4"/>
        <v>0</v>
      </c>
    </row>
    <row r="62" spans="1:32" ht="13.5" thickBot="1" x14ac:dyDescent="0.25">
      <c r="B62" s="288" t="s">
        <v>175</v>
      </c>
      <c r="Y62" s="316">
        <f>+EST_ITM!EN104</f>
        <v>0</v>
      </c>
      <c r="Z62" s="335">
        <f>+EST_ITM!ET104</f>
        <v>0</v>
      </c>
      <c r="AA62" s="335">
        <f>+EST_ITM!EZ104</f>
        <v>0</v>
      </c>
      <c r="AC62" s="280">
        <f t="shared" si="4"/>
        <v>0</v>
      </c>
    </row>
    <row r="63" spans="1:32" ht="13.5" thickBot="1" x14ac:dyDescent="0.25">
      <c r="B63" s="289" t="s">
        <v>176</v>
      </c>
      <c r="Y63" s="316">
        <f>+EST_ITM!EN105</f>
        <v>0</v>
      </c>
      <c r="Z63" s="335">
        <f>+EST_ITM!ET105</f>
        <v>0</v>
      </c>
      <c r="AA63" s="335">
        <f>+EST_ITM!EZ105</f>
        <v>0</v>
      </c>
      <c r="AC63" s="280">
        <f t="shared" si="4"/>
        <v>0</v>
      </c>
    </row>
    <row r="64" spans="1:32" ht="13.5" thickBot="1" x14ac:dyDescent="0.25">
      <c r="B64" s="288" t="s">
        <v>177</v>
      </c>
      <c r="Y64" s="316">
        <f>+EST_ITM!EN106</f>
        <v>0</v>
      </c>
      <c r="Z64" s="335">
        <f>+EST_ITM!ET106</f>
        <v>0</v>
      </c>
      <c r="AA64" s="335">
        <f>+EST_ITM!EZ106</f>
        <v>0</v>
      </c>
      <c r="AC64" s="280">
        <f t="shared" si="4"/>
        <v>0</v>
      </c>
    </row>
    <row r="65" spans="2:29" ht="13.5" thickBot="1" x14ac:dyDescent="0.25">
      <c r="B65" s="289" t="s">
        <v>178</v>
      </c>
      <c r="Y65" s="316">
        <f>+EST_ITM!EN107</f>
        <v>0</v>
      </c>
      <c r="Z65" s="335">
        <f>+EST_ITM!ET107</f>
        <v>0</v>
      </c>
      <c r="AA65" s="335">
        <f>+EST_ITM!EZ107</f>
        <v>0</v>
      </c>
      <c r="AC65" s="280">
        <f t="shared" si="4"/>
        <v>0</v>
      </c>
    </row>
    <row r="66" spans="2:29" ht="13.5" thickBot="1" x14ac:dyDescent="0.25">
      <c r="B66" s="288" t="s">
        <v>179</v>
      </c>
      <c r="Y66" s="316">
        <f>+EST_ITM!EN108</f>
        <v>0</v>
      </c>
      <c r="Z66" s="335">
        <f>+EST_ITM!ET108</f>
        <v>0</v>
      </c>
      <c r="AA66" s="335">
        <f>+EST_ITM!EZ108</f>
        <v>0</v>
      </c>
      <c r="AC66" s="280">
        <f t="shared" si="4"/>
        <v>0</v>
      </c>
    </row>
    <row r="67" spans="2:29" ht="13.5" thickBot="1" x14ac:dyDescent="0.25">
      <c r="B67" s="289" t="s">
        <v>180</v>
      </c>
      <c r="Y67" s="316">
        <f>+EST_ITM!EN109</f>
        <v>0</v>
      </c>
      <c r="Z67" s="335">
        <f>+EST_ITM!ET109</f>
        <v>0</v>
      </c>
      <c r="AA67" s="335">
        <f>+EST_ITM!EZ109</f>
        <v>0</v>
      </c>
      <c r="AC67" s="280">
        <f t="shared" si="4"/>
        <v>0</v>
      </c>
    </row>
    <row r="68" spans="2:29" ht="13.5" thickBot="1" x14ac:dyDescent="0.25">
      <c r="B68" s="288" t="s">
        <v>181</v>
      </c>
      <c r="Y68" s="316">
        <f>+EST_ITM!EN110</f>
        <v>0</v>
      </c>
      <c r="Z68" s="335">
        <f>+EST_ITM!ET110</f>
        <v>0</v>
      </c>
      <c r="AA68" s="335">
        <f>+EST_ITM!EZ110</f>
        <v>0</v>
      </c>
      <c r="AC68" s="280">
        <f t="shared" si="4"/>
        <v>0</v>
      </c>
    </row>
    <row r="69" spans="2:29" ht="13.5" thickBot="1" x14ac:dyDescent="0.25">
      <c r="B69" s="289" t="s">
        <v>182</v>
      </c>
      <c r="Y69" s="316">
        <f>+EST_ITM!EN111</f>
        <v>0</v>
      </c>
      <c r="Z69" s="335">
        <f>+EST_ITM!ET111</f>
        <v>0</v>
      </c>
      <c r="AA69" s="280"/>
      <c r="AC69" s="280">
        <f t="shared" si="4"/>
        <v>0</v>
      </c>
    </row>
    <row r="70" spans="2:29" ht="13.5" thickBot="1" x14ac:dyDescent="0.25">
      <c r="B70" s="288" t="s">
        <v>183</v>
      </c>
      <c r="Y70" s="316">
        <f>+EST_ITM!EN112</f>
        <v>0</v>
      </c>
      <c r="Z70" s="335">
        <f>+EST_ITM!ET112</f>
        <v>0</v>
      </c>
      <c r="AA70" s="280"/>
      <c r="AC70" s="280">
        <f t="shared" si="4"/>
        <v>0</v>
      </c>
    </row>
    <row r="71" spans="2:29" ht="13.5" thickBot="1" x14ac:dyDescent="0.25">
      <c r="B71" s="289" t="s">
        <v>184</v>
      </c>
      <c r="Y71" s="316">
        <f>+EST_ITM!EN113</f>
        <v>0</v>
      </c>
      <c r="Z71" s="335">
        <f>+EST_ITM!ET113</f>
        <v>0</v>
      </c>
      <c r="AA71" s="280"/>
      <c r="AC71" s="280">
        <f t="shared" si="4"/>
        <v>0</v>
      </c>
    </row>
  </sheetData>
  <mergeCells count="1">
    <mergeCell ref="C4:AD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7"/>
  <sheetViews>
    <sheetView workbookViewId="0">
      <selection activeCell="D8" sqref="D8"/>
    </sheetView>
  </sheetViews>
  <sheetFormatPr baseColWidth="10" defaultColWidth="11.42578125" defaultRowHeight="12.75" x14ac:dyDescent="0.2"/>
  <cols>
    <col min="1" max="1" width="11.42578125" style="322"/>
    <col min="2" max="2" width="12.28515625" style="322" bestFit="1" customWidth="1"/>
    <col min="3" max="10" width="11.42578125" style="322"/>
    <col min="11" max="11" width="32.140625" style="322" customWidth="1"/>
    <col min="12" max="25" width="11.42578125" style="322"/>
    <col min="26" max="26" width="39.7109375" style="322" customWidth="1"/>
    <col min="27" max="16384" width="11.42578125" style="322"/>
  </cols>
  <sheetData>
    <row r="2" spans="1:26" x14ac:dyDescent="0.2">
      <c r="A2" s="360" t="s">
        <v>191</v>
      </c>
    </row>
    <row r="3" spans="1:26" x14ac:dyDescent="0.2">
      <c r="A3" s="361" t="s">
        <v>208</v>
      </c>
      <c r="K3" s="325"/>
      <c r="L3" s="325"/>
      <c r="M3" s="325"/>
      <c r="N3" s="325"/>
      <c r="O3" s="325"/>
      <c r="P3" s="325"/>
      <c r="Q3" s="325"/>
      <c r="R3" s="325"/>
      <c r="S3" s="325"/>
      <c r="T3" s="325"/>
      <c r="U3" s="325"/>
      <c r="V3" s="325"/>
      <c r="W3" s="326"/>
      <c r="X3" s="326"/>
    </row>
    <row r="4" spans="1:26" x14ac:dyDescent="0.2">
      <c r="A4" s="360" t="s">
        <v>166</v>
      </c>
      <c r="B4" s="346" t="s">
        <v>185</v>
      </c>
    </row>
    <row r="5" spans="1:26" ht="30" x14ac:dyDescent="0.4">
      <c r="B5" s="362" t="s">
        <v>209</v>
      </c>
      <c r="G5" s="324" t="str">
        <f>+B4</f>
        <v>POBLACIÓN TOTAL</v>
      </c>
      <c r="Z5" s="323" t="s">
        <v>207</v>
      </c>
    </row>
    <row r="6" spans="1:26" x14ac:dyDescent="0.2">
      <c r="Z6" s="323" t="s">
        <v>206</v>
      </c>
    </row>
    <row r="7" spans="1:26" x14ac:dyDescent="0.2">
      <c r="A7" s="322" t="str">
        <f>ESTADISTICAS!B23</f>
        <v>Feb-Jun 2010</v>
      </c>
      <c r="B7" s="322">
        <f>+HLOOKUP($B$4,BDEST,ESTADISTICAS!A23,FALSE)+IFERROR(HLOOKUP($B$4,DBESTLIQ,ESTADISTICAS!A23,FALSE),0)</f>
        <v>2352</v>
      </c>
      <c r="Z7" s="323" t="s">
        <v>112</v>
      </c>
    </row>
    <row r="8" spans="1:26" x14ac:dyDescent="0.2">
      <c r="A8" s="322" t="str">
        <f>+IF(B8&gt;0,ESTADISTICAS!B24," ")</f>
        <v>Ago-Dic 2010</v>
      </c>
      <c r="B8" s="322">
        <f>+HLOOKUP($B$4,BDEST,ESTADISTICAS!A24,FALSE)+IFERROR(HLOOKUP($B$4,DBESTLIQ,ESTADISTICAS!A24,FALSE),0)</f>
        <v>2535</v>
      </c>
      <c r="Z8" s="323" t="s">
        <v>205</v>
      </c>
    </row>
    <row r="9" spans="1:26" x14ac:dyDescent="0.2">
      <c r="A9" s="322" t="str">
        <f>+IF(B9&gt;0,ESTADISTICAS!B25," ")</f>
        <v>Feb-Jun 2011</v>
      </c>
      <c r="B9" s="322">
        <f>+HLOOKUP($B$4,BDEST,ESTADISTICAS!A25,FALSE)+IFERROR(HLOOKUP($B$4,DBESTLIQ,ESTADISTICAS!A25,FALSE),0)</f>
        <v>2430</v>
      </c>
      <c r="Z9" s="323" t="s">
        <v>195</v>
      </c>
    </row>
    <row r="10" spans="1:26" x14ac:dyDescent="0.2">
      <c r="A10" s="322" t="str">
        <f>+IF(B10&gt;0,ESTADISTICAS!B26," ")</f>
        <v>Ago-Dic 2011</v>
      </c>
      <c r="B10" s="322">
        <f>+HLOOKUP($B$4,BDEST,ESTADISTICAS!A26,FALSE)+IFERROR(HLOOKUP($B$4,DBESTLIQ,ESTADISTICAS!A26,FALSE),0)</f>
        <v>2962</v>
      </c>
      <c r="Z10" s="323" t="s">
        <v>204</v>
      </c>
    </row>
    <row r="11" spans="1:26" x14ac:dyDescent="0.2">
      <c r="A11" s="322" t="str">
        <f>+IF(B11&gt;0,ESTADISTICAS!B27," ")</f>
        <v>Feb-Jun 2012</v>
      </c>
      <c r="B11" s="322">
        <f>+HLOOKUP($B$4,BDEST,ESTADISTICAS!A27,FALSE)+IFERROR(HLOOKUP($B$4,DBESTLIQ,ESTADISTICAS!A27,FALSE),0)</f>
        <v>2620</v>
      </c>
      <c r="Z11" s="323" t="s">
        <v>203</v>
      </c>
    </row>
    <row r="12" spans="1:26" x14ac:dyDescent="0.2">
      <c r="A12" s="322" t="str">
        <f>+IF(B12&gt;0,ESTADISTICAS!B28," ")</f>
        <v>Ago-Dic 2012</v>
      </c>
      <c r="B12" s="322">
        <f>+HLOOKUP($B$4,BDEST,ESTADISTICAS!A28,FALSE)+IFERROR(HLOOKUP($B$4,DBESTLIQ,ESTADISTICAS!A28,FALSE),0)</f>
        <v>3100</v>
      </c>
      <c r="Z12" s="323" t="s">
        <v>216</v>
      </c>
    </row>
    <row r="13" spans="1:26" x14ac:dyDescent="0.2">
      <c r="A13" s="322" t="str">
        <f>+IF(B13&gt;0,ESTADISTICAS!B29," ")</f>
        <v>Feb-Jun 2013</v>
      </c>
      <c r="B13" s="322">
        <f>+HLOOKUP($B$4,BDEST,ESTADISTICAS!A29,FALSE)+IFERROR(HLOOKUP($B$4,DBESTLIQ,ESTADISTICAS!A29,FALSE),0)</f>
        <v>2873</v>
      </c>
      <c r="Z13" s="323" t="s">
        <v>217</v>
      </c>
    </row>
    <row r="14" spans="1:26" x14ac:dyDescent="0.2">
      <c r="A14" s="322" t="str">
        <f>+IF(B14&gt;0,ESTADISTICAS!B30," ")</f>
        <v>Ago-Dic 2013</v>
      </c>
      <c r="B14" s="322">
        <f>+HLOOKUP($B$4,BDEST,ESTADISTICAS!A30,FALSE)+IFERROR(HLOOKUP($B$4,DBESTLIQ,ESTADISTICAS!A30,FALSE),0)</f>
        <v>3233</v>
      </c>
      <c r="Z14" s="323" t="s">
        <v>167</v>
      </c>
    </row>
    <row r="15" spans="1:26" x14ac:dyDescent="0.2">
      <c r="A15" s="322" t="str">
        <f>+IF(B15&gt;0,ESTADISTICAS!B31," ")</f>
        <v>Feb-Jun 2014</v>
      </c>
      <c r="B15" s="322">
        <f>+HLOOKUP($B$4,BDEST,ESTADISTICAS!A31,FALSE)+IFERROR(HLOOKUP($B$4,DBESTLIQ,ESTADISTICAS!A31,FALSE),0)</f>
        <v>2942</v>
      </c>
      <c r="Z15" s="323" t="s">
        <v>218</v>
      </c>
    </row>
    <row r="16" spans="1:26" x14ac:dyDescent="0.2">
      <c r="A16" s="322" t="str">
        <f>+IF(B16&gt;0,ESTADISTICAS!B32," ")</f>
        <v>Ago-Dic 2014</v>
      </c>
      <c r="B16" s="322">
        <f>+HLOOKUP($B$4,BDEST,ESTADISTICAS!A32,FALSE)+IFERROR(HLOOKUP($B$4,DBESTLIQ,ESTADISTICAS!A32,FALSE),0)</f>
        <v>3317</v>
      </c>
      <c r="Z16" s="323" t="s">
        <v>227</v>
      </c>
    </row>
    <row r="17" spans="1:26" x14ac:dyDescent="0.2">
      <c r="A17" s="322" t="str">
        <f>+IF(B17&gt;0,ESTADISTICAS!B33," ")</f>
        <v>Feb-Jun 2015</v>
      </c>
      <c r="B17" s="322">
        <f>+HLOOKUP($B$4,BDEST,ESTADISTICAS!A33,FALSE)+IFERROR(HLOOKUP($B$4,DBESTLIQ,ESTADISTICAS!A33,FALSE),0)</f>
        <v>3282</v>
      </c>
      <c r="Z17" s="323" t="s">
        <v>219</v>
      </c>
    </row>
    <row r="18" spans="1:26" x14ac:dyDescent="0.2">
      <c r="A18" s="322" t="str">
        <f>+IF(B18&gt;0,ESTADISTICAS!B34," ")</f>
        <v>Ago-Dic 2015</v>
      </c>
      <c r="B18" s="322">
        <f>+HLOOKUP($B$4,BDEST,ESTADISTICAS!A34,FALSE)+IFERROR(HLOOKUP($B$4,DBESTLIQ,ESTADISTICAS!A34,FALSE),0)</f>
        <v>3630</v>
      </c>
      <c r="Z18" s="323" t="s">
        <v>185</v>
      </c>
    </row>
    <row r="19" spans="1:26" x14ac:dyDescent="0.2">
      <c r="A19" s="322" t="str">
        <f>+IF(B19&gt;0,ESTADISTICAS!B35," ")</f>
        <v>Feb-Jun 2016</v>
      </c>
      <c r="B19" s="322">
        <f>+HLOOKUP($B$4,BDEST,ESTADISTICAS!A35,FALSE)+IFERROR(HLOOKUP($B$4,DBESTLIQ,ESTADISTICAS!A35,FALSE),0)</f>
        <v>3579</v>
      </c>
    </row>
    <row r="20" spans="1:26" x14ac:dyDescent="0.2">
      <c r="A20" s="322" t="str">
        <f>+IF(B20&gt;0,ESTADISTICAS!B36," ")</f>
        <v>Ago-Dic 2016</v>
      </c>
      <c r="B20" s="322">
        <f>+HLOOKUP($B$4,BDEST,ESTADISTICAS!A36,FALSE)+IFERROR(HLOOKUP($B$4,DBESTLIQ,ESTADISTICAS!A36,FALSE),0)</f>
        <v>4066</v>
      </c>
    </row>
    <row r="21" spans="1:26" x14ac:dyDescent="0.2">
      <c r="A21" s="322" t="str">
        <f>+IF(B21&gt;0,ESTADISTICAS!B37," ")</f>
        <v>Feb-Jun 2017</v>
      </c>
      <c r="B21" s="322">
        <f>+HLOOKUP($B$4,BDEST,ESTADISTICAS!A37,FALSE)+IFERROR(HLOOKUP($B$4,DBESTLIQ,ESTADISTICAS!A37,FALSE),0)</f>
        <v>3842</v>
      </c>
    </row>
    <row r="22" spans="1:26" x14ac:dyDescent="0.2">
      <c r="A22" s="322" t="str">
        <f>+IF(B22&gt;0,ESTADISTICAS!B38," ")</f>
        <v>Ago-Dic 2017</v>
      </c>
      <c r="B22" s="322">
        <f>+HLOOKUP($B$4,BDEST,ESTADISTICAS!A38,FALSE)+IFERROR(HLOOKUP($B$4,DBESTLIQ,ESTADISTICAS!A38,FALSE),0)</f>
        <v>4306</v>
      </c>
    </row>
    <row r="23" spans="1:26" x14ac:dyDescent="0.2">
      <c r="A23" s="322" t="str">
        <f>+IF(B23&gt;0,ESTADISTICAS!B39," ")</f>
        <v>Feb-Jun 2018</v>
      </c>
      <c r="B23" s="322">
        <f>+HLOOKUP($B$4,BDEST,ESTADISTICAS!A39,FALSE)+IFERROR(HLOOKUP($B$4,DBESTLIQ,ESTADISTICAS!A39,FALSE),0)</f>
        <v>4064</v>
      </c>
    </row>
    <row r="24" spans="1:26" x14ac:dyDescent="0.2">
      <c r="A24" s="322" t="str">
        <f>+IF(B24&gt;0,ESTADISTICAS!B40," ")</f>
        <v>Ago-Dic 2018</v>
      </c>
      <c r="B24" s="322">
        <f>+HLOOKUP($B$4,BDEST,ESTADISTICAS!A40,FALSE)+IFERROR(HLOOKUP($B$4,DBESTLIQ,ESTADISTICAS!A40,FALSE),0)</f>
        <v>4212</v>
      </c>
    </row>
    <row r="25" spans="1:26" x14ac:dyDescent="0.2">
      <c r="A25" s="322" t="str">
        <f>+IF(B25&gt;0,ESTADISTICAS!B41," ")</f>
        <v>Feb-Jun 2019</v>
      </c>
      <c r="B25" s="322">
        <f>+HLOOKUP($B$4,BDEST,ESTADISTICAS!A41,FALSE)+IFERROR(HLOOKUP($B$4,DBESTLIQ,ESTADISTICAS!A41,FALSE),0)</f>
        <v>4084</v>
      </c>
    </row>
    <row r="26" spans="1:26" x14ac:dyDescent="0.2">
      <c r="A26" s="322" t="str">
        <f>+IF(B26&gt;0,ESTADISTICAS!B42," ")</f>
        <v>Ago-Dic 2019</v>
      </c>
      <c r="B26" s="322">
        <f>+HLOOKUP($B$4,BDEST,ESTADISTICAS!A42,FALSE)+IFERROR(HLOOKUP($B$4,DBESTLIQ,ESTADISTICAS!A42,FALSE),0)</f>
        <v>4172</v>
      </c>
    </row>
    <row r="27" spans="1:26" x14ac:dyDescent="0.2">
      <c r="A27" s="322" t="str">
        <f>+IF(B27&gt;0,ESTADISTICAS!B43," ")</f>
        <v>Feb-Jun 2020</v>
      </c>
      <c r="B27" s="322">
        <f>+HLOOKUP($B$4,BDEST,ESTADISTICAS!A43,FALSE)+IFERROR(HLOOKUP($B$4,DBESTLIQ,ESTADISTICAS!A43,FALSE),0)</f>
        <v>3998</v>
      </c>
    </row>
    <row r="28" spans="1:26" x14ac:dyDescent="0.2">
      <c r="A28" s="322" t="str">
        <f>+IF(B28&gt;0,ESTADISTICAS!B44," ")</f>
        <v>Ago-Dic 2020</v>
      </c>
      <c r="B28" s="322">
        <f>+HLOOKUP($B$4,BDEST,ESTADISTICAS!A44,FALSE)+IFERROR(HLOOKUP($B$4,DBESTLIQ,ESTADISTICAS!A44,FALSE),0)</f>
        <v>4393</v>
      </c>
    </row>
    <row r="29" spans="1:26" x14ac:dyDescent="0.2">
      <c r="A29" s="322" t="str">
        <f>+IF(B29&gt;0,ESTADISTICAS!B45," ")</f>
        <v>Feb-Jun 2021</v>
      </c>
      <c r="B29" s="322">
        <f>+HLOOKUP($B$4,BDEST,ESTADISTICAS!A45,FALSE)+IFERROR(HLOOKUP($B$4,DBESTLIQ,ESTADISTICAS!A45,FALSE),0)</f>
        <v>4212</v>
      </c>
    </row>
    <row r="30" spans="1:26" x14ac:dyDescent="0.2">
      <c r="A30" s="322" t="str">
        <f>+IF(B30&gt;0,ESTADISTICAS!B46," ")</f>
        <v>Ago-Dic 2021</v>
      </c>
      <c r="B30" s="322">
        <f>+HLOOKUP($B$4,BDEST,ESTADISTICAS!A46,FALSE)+IFERROR(HLOOKUP($B$4,DBESTLIQ,ESTADISTICAS!A46,FALSE),0)</f>
        <v>4608</v>
      </c>
    </row>
    <row r="31" spans="1:26" x14ac:dyDescent="0.2">
      <c r="A31" s="322" t="str">
        <f>+IF(B31&gt;0,ESTADISTICAS!B47," ")</f>
        <v>Feb-Jun 2022</v>
      </c>
      <c r="B31" s="322">
        <f>+HLOOKUP($B$4,BDEST,ESTADISTICAS!A47,FALSE)+IFERROR(HLOOKUP($B$4,DBESTLIQ,ESTADISTICAS!A47,FALSE),0)</f>
        <v>4412</v>
      </c>
    </row>
    <row r="32" spans="1:26" x14ac:dyDescent="0.2">
      <c r="A32" s="322" t="str">
        <f>+IF(B32&gt;0,ESTADISTICAS!B48," ")</f>
        <v>Ago-Dic 2022</v>
      </c>
      <c r="B32" s="322">
        <f>+HLOOKUP($B$4,BDEST,ESTADISTICAS!A48,FALSE)+IFERROR(HLOOKUP($B$4,DBESTLIQ,ESTADISTICAS!A48,FALSE),0)</f>
        <v>4797</v>
      </c>
    </row>
    <row r="33" spans="1:2" x14ac:dyDescent="0.2">
      <c r="A33" s="322" t="str">
        <f>+IF(B33&gt;0,ESTADISTICAS!B49," ")</f>
        <v>Feb-Jun 2023</v>
      </c>
      <c r="B33" s="322">
        <f>+HLOOKUP($B$4,BDEST,ESTADISTICAS!A49,FALSE)+IFERROR(HLOOKUP($B$4,DBESTLIQ,ESTADISTICAS!A49,FALSE),0)</f>
        <v>4601</v>
      </c>
    </row>
    <row r="34" spans="1:2" x14ac:dyDescent="0.2">
      <c r="A34" s="322" t="str">
        <f>+IF(B34&gt;0,ESTADISTICAS!B50," ")</f>
        <v>Ago-Dic 2023</v>
      </c>
      <c r="B34" s="322">
        <f>+HLOOKUP($B$4,BDEST,ESTADISTICAS!A50,FALSE)+IFERROR(HLOOKUP($B$4,DBESTLIQ,ESTADISTICAS!A50,FALSE),0)</f>
        <v>4982</v>
      </c>
    </row>
    <row r="35" spans="1:2" x14ac:dyDescent="0.2">
      <c r="A35" s="322" t="str">
        <f>+IF(B35&gt;0,ESTADISTICAS!B51," ")</f>
        <v>Feb-Jun 2024</v>
      </c>
      <c r="B35" s="322">
        <f>+HLOOKUP($B$4,BDEST,ESTADISTICAS!A51,FALSE)+IFERROR(HLOOKUP($B$4,DBESTLIQ,ESTADISTICAS!A51,FALSE),0)</f>
        <v>4781</v>
      </c>
    </row>
    <row r="36" spans="1:2" x14ac:dyDescent="0.2">
      <c r="A36" s="322" t="str">
        <f>+IF(B36&gt;0,ESTADISTICAS!B52," ")</f>
        <v>Ago-Dic 2024</v>
      </c>
      <c r="B36" s="322">
        <f>+HLOOKUP($B$4,BDEST,ESTADISTICAS!A52,FALSE)+IFERROR(HLOOKUP($B$4,DBESTLIQ,ESTADISTICAS!A52,FALSE),0)</f>
        <v>5157</v>
      </c>
    </row>
    <row r="37" spans="1:2" x14ac:dyDescent="0.2">
      <c r="A37" s="322" t="str">
        <f>+IF(B37&gt;0,ESTADISTICAS!B53," ")</f>
        <v>Feb-Jun 2025</v>
      </c>
      <c r="B37" s="322">
        <f>+HLOOKUP($B$4,BDEST,ESTADISTICAS!A53,FALSE)+IFERROR(HLOOKUP($B$4,DBESTLIQ,ESTADISTICAS!A53,FALSE),0)</f>
        <v>4956</v>
      </c>
    </row>
  </sheetData>
  <sortState ref="K3:K62">
    <sortCondition ref="K3:K62"/>
  </sortState>
  <conditionalFormatting sqref="K3">
    <cfRule type="cellIs" dxfId="15" priority="2" stopIfTrue="1" operator="lessThan">
      <formula>0</formula>
    </cfRule>
  </conditionalFormatting>
  <conditionalFormatting sqref="Z5">
    <cfRule type="cellIs" dxfId="14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B4">
      <formula1>$Z$5:$Z$18</formula1>
    </dataValidation>
  </dataValidations>
  <pageMargins left="0.7" right="0.7" top="0.75" bottom="0.75" header="0.3" footer="0.3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opLeftCell="E1" workbookViewId="0">
      <selection activeCell="K3" sqref="K3:P3"/>
    </sheetView>
  </sheetViews>
  <sheetFormatPr baseColWidth="10" defaultColWidth="11.42578125" defaultRowHeight="12.75" x14ac:dyDescent="0.2"/>
  <cols>
    <col min="1" max="1" width="19.5703125" style="322" hidden="1" customWidth="1"/>
    <col min="2" max="2" width="9" style="322" hidden="1" customWidth="1"/>
    <col min="3" max="3" width="9.140625" style="322" hidden="1" customWidth="1"/>
    <col min="4" max="4" width="7" style="322" hidden="1" customWidth="1"/>
    <col min="5" max="5" width="11.42578125" style="322"/>
    <col min="6" max="6" width="15.7109375" style="322" customWidth="1"/>
    <col min="7" max="7" width="11.42578125" style="322"/>
    <col min="8" max="8" width="4.7109375" style="322" customWidth="1"/>
    <col min="9" max="9" width="14" style="322" customWidth="1"/>
    <col min="10" max="10" width="9.140625" style="322" customWidth="1"/>
    <col min="11" max="11" width="22" style="322" customWidth="1"/>
    <col min="12" max="12" width="15.28515625" style="322" bestFit="1" customWidth="1"/>
    <col min="13" max="14" width="11.42578125" style="322"/>
    <col min="15" max="15" width="18.42578125" style="322" customWidth="1"/>
    <col min="16" max="17" width="11.42578125" style="322"/>
    <col min="18" max="18" width="14.85546875" style="322" customWidth="1"/>
    <col min="19" max="25" width="11.42578125" style="322"/>
    <col min="26" max="26" width="31.42578125" style="322" customWidth="1"/>
    <col min="27" max="27" width="18" style="322" customWidth="1"/>
    <col min="28" max="16384" width="11.42578125" style="322"/>
  </cols>
  <sheetData>
    <row r="1" spans="2:29" x14ac:dyDescent="0.2">
      <c r="E1" s="363" t="s">
        <v>211</v>
      </c>
      <c r="K1" s="325"/>
      <c r="L1" s="325"/>
      <c r="M1" s="325"/>
      <c r="N1" s="325"/>
      <c r="O1" s="325"/>
      <c r="P1" s="325"/>
      <c r="Q1" s="325"/>
      <c r="R1" s="325"/>
      <c r="S1" s="325"/>
      <c r="T1" s="325"/>
      <c r="U1" s="325"/>
      <c r="V1" s="325"/>
      <c r="W1" s="325"/>
      <c r="X1" s="325"/>
      <c r="Y1" s="326"/>
      <c r="Z1" s="326"/>
    </row>
    <row r="2" spans="2:29" x14ac:dyDescent="0.2">
      <c r="B2" s="321"/>
      <c r="E2" s="363" t="s">
        <v>212</v>
      </c>
    </row>
    <row r="3" spans="2:29" ht="30" x14ac:dyDescent="0.4">
      <c r="G3" s="324" t="s">
        <v>190</v>
      </c>
      <c r="K3" s="498" t="s">
        <v>221</v>
      </c>
      <c r="L3" s="498"/>
      <c r="M3" s="498"/>
      <c r="N3" s="498"/>
      <c r="O3" s="498"/>
      <c r="P3" s="498"/>
      <c r="Q3" s="331"/>
      <c r="Z3" s="323" t="s">
        <v>187</v>
      </c>
      <c r="AA3" s="323" t="s">
        <v>112</v>
      </c>
      <c r="AB3" s="323" t="s">
        <v>216</v>
      </c>
      <c r="AC3" s="323" t="s">
        <v>218</v>
      </c>
    </row>
    <row r="4" spans="2:29" ht="12.75" customHeight="1" x14ac:dyDescent="0.2">
      <c r="E4" s="499"/>
      <c r="F4" s="499"/>
      <c r="G4" s="499"/>
      <c r="H4" s="499"/>
      <c r="I4" s="499"/>
      <c r="J4" s="499"/>
      <c r="K4" s="499"/>
      <c r="L4" s="499"/>
      <c r="M4" s="499"/>
      <c r="N4" s="499"/>
      <c r="O4" s="499"/>
      <c r="P4" s="499"/>
      <c r="Q4" s="328"/>
      <c r="S4" s="321" t="s">
        <v>186</v>
      </c>
      <c r="T4" s="322" t="str">
        <f>+VLOOKUP($K$3,bddeptos,2,FALSE)</f>
        <v>ING. MECÁNICA</v>
      </c>
      <c r="U4" s="322" t="str">
        <f>+VLOOKUP($K$3,bddeptos,3,FALSE)</f>
        <v>ING. MECATRÓNICA</v>
      </c>
      <c r="V4" s="322" t="str">
        <f>IF(VLOOKUP($K$3,bddeptos,4,FALSE)=0," ",VLOOKUP($K$3,bddeptos,4,FALSE))</f>
        <v>ING. EN MATERIALES</v>
      </c>
      <c r="Z4" s="323" t="s">
        <v>188</v>
      </c>
      <c r="AA4" s="323" t="s">
        <v>207</v>
      </c>
      <c r="AB4" s="323" t="s">
        <v>206</v>
      </c>
      <c r="AC4" s="323" t="s">
        <v>217</v>
      </c>
    </row>
    <row r="5" spans="2:29" x14ac:dyDescent="0.2">
      <c r="S5" s="327" t="str">
        <f>ESTADISTICAS!B23</f>
        <v>Feb-Jun 2010</v>
      </c>
      <c r="T5" s="322">
        <f>+HLOOKUP($T$4,BDEST,ESTADISTICAS!A23,FALSE)</f>
        <v>11</v>
      </c>
      <c r="U5" s="322">
        <f>+HLOOKUP($U$4,BDEST,ESTADISTICAS!A23,FALSE)</f>
        <v>25</v>
      </c>
      <c r="V5" s="322">
        <f>+IF($V$4=" "," ",HLOOKUP($V$4,BDEST,ESTADISTICAS!A23,FALSE))</f>
        <v>0</v>
      </c>
      <c r="Z5" s="323" t="s">
        <v>221</v>
      </c>
      <c r="AA5" s="323" t="s">
        <v>205</v>
      </c>
      <c r="AB5" s="323" t="s">
        <v>203</v>
      </c>
      <c r="AC5" s="323" t="s">
        <v>227</v>
      </c>
    </row>
    <row r="6" spans="2:29" x14ac:dyDescent="0.2">
      <c r="S6" s="327" t="str">
        <f>+IF(T6&gt;0,ESTADISTICAS!B24," ")</f>
        <v>Ago-Dic 2010</v>
      </c>
      <c r="T6" s="322">
        <f>+HLOOKUP($T$4,BDEST,ESTADISTICAS!A24,FALSE)</f>
        <v>70</v>
      </c>
      <c r="U6" s="322">
        <f>+HLOOKUP($U$4,BDEST,ESTADISTICAS!A24,FALSE)</f>
        <v>136</v>
      </c>
      <c r="V6" s="322">
        <f>+IF($V$4=" "," ",HLOOKUP($V$4,BDEST,ESTADISTICAS!A24,FALSE))</f>
        <v>0</v>
      </c>
      <c r="Z6" s="323" t="s">
        <v>220</v>
      </c>
      <c r="AA6" s="323" t="s">
        <v>204</v>
      </c>
    </row>
    <row r="7" spans="2:29" x14ac:dyDescent="0.2">
      <c r="S7" s="327" t="str">
        <f>+IF(T7&gt;0,ESTADISTICAS!B25," ")</f>
        <v>Feb-Jun 2011</v>
      </c>
      <c r="T7" s="322">
        <f>+HLOOKUP($T$4,BDEST,ESTADISTICAS!A25,FALSE)</f>
        <v>86</v>
      </c>
      <c r="U7" s="322">
        <f>+HLOOKUP($U$4,BDEST,ESTADISTICAS!A25,FALSE)</f>
        <v>168</v>
      </c>
      <c r="V7" s="322">
        <f>+IF($V$4=" "," ",HLOOKUP($V$4,BDEST,ESTADISTICAS!A25,FALSE))</f>
        <v>0</v>
      </c>
      <c r="Z7" s="323" t="s">
        <v>197</v>
      </c>
      <c r="AA7" s="323" t="s">
        <v>195</v>
      </c>
      <c r="AB7" s="323" t="s">
        <v>219</v>
      </c>
    </row>
    <row r="8" spans="2:29" x14ac:dyDescent="0.2">
      <c r="S8" s="327" t="str">
        <f>+IF(T8&gt;0,ESTADISTICAS!B26," ")</f>
        <v>Ago-Dic 2011</v>
      </c>
      <c r="T8" s="322">
        <f>+HLOOKUP($T$4,BDEST,ESTADISTICAS!A26,FALSE)</f>
        <v>161</v>
      </c>
      <c r="U8" s="322">
        <f>+HLOOKUP($U$4,BDEST,ESTADISTICAS!A26,FALSE)</f>
        <v>314</v>
      </c>
      <c r="V8" s="322">
        <f>+IF($V$4=" "," ",HLOOKUP($V$4,BDEST,ESTADISTICAS!A26,FALSE))</f>
        <v>0</v>
      </c>
      <c r="Z8" s="323" t="s">
        <v>189</v>
      </c>
      <c r="AA8" s="323" t="s">
        <v>167</v>
      </c>
      <c r="AB8" s="323"/>
    </row>
    <row r="9" spans="2:29" x14ac:dyDescent="0.2">
      <c r="S9" s="327" t="str">
        <f>+IF(T9&gt;0,ESTADISTICAS!B27," ")</f>
        <v>Feb-Jun 2012</v>
      </c>
      <c r="T9" s="322">
        <f>+HLOOKUP($T$4,BDEST,ESTADISTICAS!A27,FALSE)</f>
        <v>147</v>
      </c>
      <c r="U9" s="322">
        <f>+HLOOKUP($U$4,BDEST,ESTADISTICAS!A27,FALSE)</f>
        <v>319</v>
      </c>
      <c r="V9" s="322">
        <f>+IF($V$4=" "," ",HLOOKUP($V$4,BDEST,ESTADISTICAS!A27,FALSE))</f>
        <v>0</v>
      </c>
    </row>
    <row r="10" spans="2:29" x14ac:dyDescent="0.2">
      <c r="S10" s="327" t="str">
        <f>+IF(T10&gt;0,ESTADISTICAS!B28," ")</f>
        <v>Ago-Dic 2012</v>
      </c>
      <c r="T10" s="322">
        <f>+HLOOKUP($T$4,BDEST,ESTADISTICAS!A28,FALSE)</f>
        <v>209</v>
      </c>
      <c r="U10" s="322">
        <f>+HLOOKUP($U$4,BDEST,ESTADISTICAS!A28,FALSE)</f>
        <v>421</v>
      </c>
      <c r="V10" s="322">
        <f>+IF($V$4=" "," ",HLOOKUP($V$4,BDEST,ESTADISTICAS!A28,FALSE))</f>
        <v>0</v>
      </c>
    </row>
    <row r="11" spans="2:29" x14ac:dyDescent="0.2">
      <c r="S11" s="327" t="str">
        <f>+IF(T11&gt;0,ESTADISTICAS!B29," ")</f>
        <v>Feb-Jun 2013</v>
      </c>
      <c r="T11" s="322">
        <f>+HLOOKUP($T$4,BDEST,ESTADISTICAS!A29,FALSE)</f>
        <v>189</v>
      </c>
      <c r="U11" s="322">
        <f>+HLOOKUP($U$4,BDEST,ESTADISTICAS!A29,FALSE)</f>
        <v>415</v>
      </c>
      <c r="V11" s="322">
        <f>+IF($V$4=" "," ",HLOOKUP($V$4,BDEST,ESTADISTICAS!A29,FALSE))</f>
        <v>0</v>
      </c>
    </row>
    <row r="12" spans="2:29" x14ac:dyDescent="0.2">
      <c r="S12" s="327" t="str">
        <f>+IF(T12&gt;0,ESTADISTICAS!B30," ")</f>
        <v>Ago-Dic 2013</v>
      </c>
      <c r="T12" s="322">
        <f>+HLOOKUP($T$4,BDEST,ESTADISTICAS!A30,FALSE)</f>
        <v>245</v>
      </c>
      <c r="U12" s="322">
        <f>+HLOOKUP($U$4,BDEST,ESTADISTICAS!A30,FALSE)</f>
        <v>462</v>
      </c>
      <c r="V12" s="322">
        <f>+IF($V$4=" "," ",HLOOKUP($V$4,BDEST,ESTADISTICAS!A30,FALSE))</f>
        <v>0</v>
      </c>
    </row>
    <row r="13" spans="2:29" x14ac:dyDescent="0.2">
      <c r="S13" s="327" t="str">
        <f>+IF(T13&gt;0,ESTADISTICAS!B31," ")</f>
        <v>Feb-Jun 2014</v>
      </c>
      <c r="T13" s="322">
        <f>+HLOOKUP($T$4,BDEST,ESTADISTICAS!A31,FALSE)</f>
        <v>229</v>
      </c>
      <c r="U13" s="322">
        <f>+HLOOKUP($U$4,BDEST,ESTADISTICAS!A31,FALSE)</f>
        <v>478</v>
      </c>
      <c r="V13" s="322">
        <f>+IF($V$4=" "," ",HLOOKUP($V$4,BDEST,ESTADISTICAS!A31,FALSE))</f>
        <v>0</v>
      </c>
    </row>
    <row r="14" spans="2:29" x14ac:dyDescent="0.2">
      <c r="S14" s="327" t="str">
        <f>+IF(T14&gt;0,ESTADISTICAS!B32," ")</f>
        <v>Ago-Dic 2014</v>
      </c>
      <c r="T14" s="322">
        <f>+HLOOKUP($T$4,BDEST,ESTADISTICAS!A32,FALSE)</f>
        <v>317</v>
      </c>
      <c r="U14" s="322">
        <f>+HLOOKUP($U$4,BDEST,ESTADISTICAS!A32,FALSE)</f>
        <v>547</v>
      </c>
      <c r="V14" s="322">
        <f>+IF($V$4=" "," ",HLOOKUP($V$4,BDEST,ESTADISTICAS!A32,FALSE))</f>
        <v>0</v>
      </c>
    </row>
    <row r="15" spans="2:29" x14ac:dyDescent="0.2">
      <c r="S15" s="327" t="str">
        <f>+IF(T15&gt;0,ESTADISTICAS!B33," ")</f>
        <v>Feb-Jun 2015</v>
      </c>
      <c r="T15" s="322">
        <f>+HLOOKUP($T$4,BDEST,ESTADISTICAS!A33,FALSE)</f>
        <v>321</v>
      </c>
      <c r="U15" s="322">
        <f>+HLOOKUP($U$4,BDEST,ESTADISTICAS!A33,FALSE)</f>
        <v>555</v>
      </c>
      <c r="V15" s="322">
        <f>+IF($V$4=" "," ",HLOOKUP($V$4,BDEST,ESTADISTICAS!A33,FALSE))</f>
        <v>0</v>
      </c>
    </row>
    <row r="16" spans="2:29" x14ac:dyDescent="0.2">
      <c r="S16" s="327" t="str">
        <f>+IF(T16&gt;0,ESTADISTICAS!B34," ")</f>
        <v>Ago-Dic 2015</v>
      </c>
      <c r="T16" s="322">
        <f>+HLOOKUP($T$4,BDEST,ESTADISTICAS!A34,FALSE)</f>
        <v>401</v>
      </c>
      <c r="U16" s="322">
        <f>+HLOOKUP($U$4,BDEST,ESTADISTICAS!A34,FALSE)</f>
        <v>623</v>
      </c>
      <c r="V16" s="322">
        <f>+IF($V$4=" "," ",HLOOKUP($V$4,BDEST,ESTADISTICAS!A34,FALSE))</f>
        <v>0</v>
      </c>
    </row>
    <row r="17" spans="19:26" x14ac:dyDescent="0.2">
      <c r="S17" s="327" t="str">
        <f>+IF(T17&gt;0,ESTADISTICAS!B35," ")</f>
        <v>Feb-Jun 2016</v>
      </c>
      <c r="T17" s="322">
        <f>+HLOOKUP($T$4,BDEST,ESTADISTICAS!A35,FALSE)</f>
        <v>408</v>
      </c>
      <c r="U17" s="322">
        <f>+HLOOKUP($U$4,BDEST,ESTADISTICAS!A35,FALSE)</f>
        <v>590</v>
      </c>
      <c r="V17" s="322">
        <f>+IF($V$4=" "," ",HLOOKUP($V$4,BDEST,ESTADISTICAS!A35,FALSE))</f>
        <v>0</v>
      </c>
    </row>
    <row r="18" spans="19:26" x14ac:dyDescent="0.2">
      <c r="S18" s="327" t="str">
        <f>+IF(T18&gt;0,ESTADISTICAS!B36," ")</f>
        <v>Ago-Dic 2016</v>
      </c>
      <c r="T18" s="322">
        <f>+HLOOKUP($T$4,BDEST,ESTADISTICAS!A36,FALSE)</f>
        <v>472</v>
      </c>
      <c r="U18" s="322">
        <f>+HLOOKUP($U$4,BDEST,ESTADISTICAS!A36,FALSE)</f>
        <v>678</v>
      </c>
      <c r="V18" s="322">
        <f>+IF($V$4=" "," ",HLOOKUP($V$4,BDEST,ESTADISTICAS!A36,FALSE))</f>
        <v>34</v>
      </c>
      <c r="Z18" s="326"/>
    </row>
    <row r="19" spans="19:26" x14ac:dyDescent="0.2">
      <c r="S19" s="327" t="str">
        <f>+IF(T19&gt;0,ESTADISTICAS!B37," ")</f>
        <v>Feb-Jun 2017</v>
      </c>
      <c r="T19" s="322">
        <f>+HLOOKUP($T$4,BDEST,ESTADISTICAS!A37,FALSE)</f>
        <v>451</v>
      </c>
      <c r="U19" s="322">
        <f>+HLOOKUP($U$4,BDEST,ESTADISTICAS!A37,FALSE)</f>
        <v>631</v>
      </c>
      <c r="V19" s="322">
        <f>+IF($V$4=" "," ",HLOOKUP($V$4,BDEST,ESTADISTICAS!A37,FALSE))</f>
        <v>28</v>
      </c>
      <c r="Z19" s="326"/>
    </row>
    <row r="20" spans="19:26" x14ac:dyDescent="0.2">
      <c r="S20" s="327" t="str">
        <f>+IF(T20&gt;0,ESTADISTICAS!B38," ")</f>
        <v>Ago-Dic 2017</v>
      </c>
      <c r="T20" s="322">
        <f>+HLOOKUP($T$4,BDEST,ESTADISTICAS!A38,FALSE)</f>
        <v>518</v>
      </c>
      <c r="U20" s="322">
        <f>+HLOOKUP($U$4,BDEST,ESTADISTICAS!A38,FALSE)</f>
        <v>684</v>
      </c>
      <c r="V20" s="322">
        <f>+IF($V$4=" "," ",HLOOKUP($V$4,BDEST,ESTADISTICAS!A38,FALSE))</f>
        <v>70</v>
      </c>
      <c r="Z20" s="325"/>
    </row>
    <row r="21" spans="19:26" x14ac:dyDescent="0.2">
      <c r="S21" s="327" t="str">
        <f>+IF(T21&gt;0,ESTADISTICAS!B39," ")</f>
        <v>Feb-Jun 2018</v>
      </c>
      <c r="T21" s="322">
        <f>+HLOOKUP($T$4,BDEST,ESTADISTICAS!A39,FALSE)</f>
        <v>496</v>
      </c>
      <c r="U21" s="322">
        <f>+HLOOKUP($U$4,BDEST,ESTADISTICAS!A39,FALSE)</f>
        <v>653</v>
      </c>
      <c r="V21" s="322">
        <f>+IF($V$4=" "," ",HLOOKUP($V$4,BDEST,ESTADISTICAS!A39,FALSE))</f>
        <v>48</v>
      </c>
      <c r="Z21" s="325"/>
    </row>
    <row r="22" spans="19:26" x14ac:dyDescent="0.2">
      <c r="S22" s="327" t="str">
        <f>+IF(T22&gt;0,ESTADISTICAS!B40," ")</f>
        <v>Ago-Dic 2018</v>
      </c>
      <c r="T22" s="322">
        <f>+HLOOKUP($T$4,BDEST,ESTADISTICAS!A40,FALSE)</f>
        <v>521</v>
      </c>
      <c r="U22" s="322">
        <f>+HLOOKUP($U$4,BDEST,ESTADISTICAS!A40,FALSE)</f>
        <v>653</v>
      </c>
      <c r="V22" s="322">
        <f>+IF($V$4=" "," ",HLOOKUP($V$4,BDEST,ESTADISTICAS!A40,FALSE))</f>
        <v>82</v>
      </c>
      <c r="Z22" s="326"/>
    </row>
    <row r="23" spans="19:26" x14ac:dyDescent="0.2">
      <c r="S23" s="327" t="str">
        <f>+IF(T23&gt;0,ESTADISTICAS!B41," ")</f>
        <v>Feb-Jun 2019</v>
      </c>
      <c r="T23" s="322">
        <f>+HLOOKUP($T$4,BDEST,ESTADISTICAS!A41,FALSE)</f>
        <v>515</v>
      </c>
      <c r="U23" s="322">
        <f>+HLOOKUP($U$4,BDEST,ESTADISTICAS!A41,FALSE)</f>
        <v>620</v>
      </c>
      <c r="V23" s="322">
        <f>+IF($V$4=" "," ",HLOOKUP($V$4,BDEST,ESTADISTICAS!A41,FALSE))</f>
        <v>51</v>
      </c>
      <c r="Z23" s="325"/>
    </row>
    <row r="24" spans="19:26" x14ac:dyDescent="0.2">
      <c r="S24" s="327" t="str">
        <f>+IF(T24&gt;0,ESTADISTICAS!B42," ")</f>
        <v>Ago-Dic 2019</v>
      </c>
      <c r="T24" s="322">
        <f>+HLOOKUP($T$4,BDEST,ESTADISTICAS!A42,FALSE)</f>
        <v>531</v>
      </c>
      <c r="U24" s="322">
        <f>+HLOOKUP($U$4,BDEST,ESTADISTICAS!A42,FALSE)</f>
        <v>604</v>
      </c>
      <c r="V24" s="322">
        <f>+IF($V$4=" "," ",HLOOKUP($V$4,BDEST,ESTADISTICAS!A42,FALSE))</f>
        <v>72</v>
      </c>
      <c r="Z24" s="326"/>
    </row>
    <row r="25" spans="19:26" x14ac:dyDescent="0.2">
      <c r="S25" s="327" t="str">
        <f>+IF(T25&gt;0,ESTADISTICAS!B43," ")</f>
        <v>Feb-Jun 2020</v>
      </c>
      <c r="T25" s="322">
        <f>+HLOOKUP($T$4,BDEST,ESTADISTICAS!A43,FALSE)</f>
        <v>501</v>
      </c>
      <c r="U25" s="322">
        <f>+HLOOKUP($U$4,BDEST,ESTADISTICAS!A43,FALSE)</f>
        <v>564</v>
      </c>
      <c r="V25" s="322">
        <f>+IF($V$4=" "," ",HLOOKUP($V$4,BDEST,ESTADISTICAS!A43,FALSE))</f>
        <v>102</v>
      </c>
      <c r="Z25" s="325"/>
    </row>
    <row r="26" spans="19:26" x14ac:dyDescent="0.2">
      <c r="S26" s="327" t="str">
        <f>+IF(T26&gt;0,ESTADISTICAS!B44," ")</f>
        <v>Ago-Dic 2020</v>
      </c>
      <c r="T26" s="322">
        <f>+HLOOKUP($T$4,BDEST,ESTADISTICAS!A44,FALSE)</f>
        <v>531</v>
      </c>
      <c r="U26" s="322">
        <f>+HLOOKUP($U$4,BDEST,ESTADISTICAS!A44,FALSE)</f>
        <v>654</v>
      </c>
      <c r="V26" s="322">
        <f>+IF($V$4=" "," ",HLOOKUP($V$4,BDEST,ESTADISTICAS!A44,FALSE))</f>
        <v>112</v>
      </c>
      <c r="Z26" s="326"/>
    </row>
    <row r="27" spans="19:26" x14ac:dyDescent="0.2">
      <c r="S27" s="327" t="str">
        <f>+IF(T27&gt;0,ESTADISTICAS!B45," ")</f>
        <v>Feb-Jun 2021</v>
      </c>
      <c r="T27" s="322">
        <f>+HLOOKUP($T$4,BDEST,ESTADISTICAS!A45,FALSE)</f>
        <v>501</v>
      </c>
      <c r="U27" s="322">
        <f>+HLOOKUP($U$4,BDEST,ESTADISTICAS!A45,FALSE)</f>
        <v>614</v>
      </c>
      <c r="V27" s="322">
        <f>+IF($V$4=" "," ",HLOOKUP($V$4,BDEST,ESTADISTICAS!A45,FALSE))</f>
        <v>127</v>
      </c>
      <c r="Z27" s="325"/>
    </row>
    <row r="28" spans="19:26" x14ac:dyDescent="0.2">
      <c r="S28" s="327" t="str">
        <f>+IF(T28&gt;0,ESTADISTICAS!B46," ")</f>
        <v>Ago-Dic 2021</v>
      </c>
      <c r="T28" s="322">
        <f>+HLOOKUP($T$4,BDEST,ESTADISTICAS!A46,FALSE)</f>
        <v>531</v>
      </c>
      <c r="U28" s="322">
        <f>+HLOOKUP($U$4,BDEST,ESTADISTICAS!A46,FALSE)</f>
        <v>704</v>
      </c>
      <c r="V28" s="322">
        <f>+IF($V$4=" "," ",HLOOKUP($V$4,BDEST,ESTADISTICAS!A46,FALSE))</f>
        <v>137</v>
      </c>
      <c r="Z28" s="325"/>
    </row>
    <row r="29" spans="19:26" x14ac:dyDescent="0.2">
      <c r="S29" s="327" t="str">
        <f>+IF(T29&gt;0,ESTADISTICAS!B47," ")</f>
        <v>Feb-Jun 2022</v>
      </c>
      <c r="T29" s="322">
        <f>+HLOOKUP($T$4,BDEST,ESTADISTICAS!A47,FALSE)</f>
        <v>501</v>
      </c>
      <c r="U29" s="322">
        <f>+HLOOKUP($U$4,BDEST,ESTADISTICAS!A47,FALSE)</f>
        <v>664</v>
      </c>
      <c r="V29" s="322">
        <f>+IF($V$4=" "," ",HLOOKUP($V$4,BDEST,ESTADISTICAS!A47,FALSE))</f>
        <v>152</v>
      </c>
      <c r="Z29" s="325"/>
    </row>
    <row r="30" spans="19:26" x14ac:dyDescent="0.2">
      <c r="S30" s="327" t="str">
        <f>+IF(T30&gt;0,ESTADISTICAS!B48," ")</f>
        <v>Ago-Dic 2022</v>
      </c>
      <c r="T30" s="322">
        <f>+HLOOKUP($T$4,BDEST,ESTADISTICAS!A48,FALSE)</f>
        <v>531</v>
      </c>
      <c r="U30" s="322">
        <f>+HLOOKUP($U$4,BDEST,ESTADISTICAS!A48,FALSE)</f>
        <v>754</v>
      </c>
      <c r="V30" s="322">
        <f>+IF($V$4=" "," ",HLOOKUP($V$4,BDEST,ESTADISTICAS!A48,FALSE))</f>
        <v>162</v>
      </c>
      <c r="Z30" s="326"/>
    </row>
    <row r="31" spans="19:26" x14ac:dyDescent="0.2">
      <c r="S31" s="327" t="str">
        <f>+IF(T31&gt;0,ESTADISTICAS!B49," ")</f>
        <v>Feb-Jun 2023</v>
      </c>
      <c r="T31" s="322">
        <f>+HLOOKUP($T$4,BDEST,ESTADISTICAS!A49,FALSE)</f>
        <v>501</v>
      </c>
      <c r="U31" s="322">
        <f>+HLOOKUP($U$4,BDEST,ESTADISTICAS!A49,FALSE)</f>
        <v>714</v>
      </c>
      <c r="V31" s="322">
        <f>+IF($V$4=" "," ",HLOOKUP($V$4,BDEST,ESTADISTICAS!A49,FALSE))</f>
        <v>177</v>
      </c>
      <c r="Z31" s="325"/>
    </row>
    <row r="32" spans="19:26" x14ac:dyDescent="0.2">
      <c r="S32" s="327" t="str">
        <f>+IF(T32&gt;0,ESTADISTICAS!B50," ")</f>
        <v>Ago-Dic 2023</v>
      </c>
      <c r="T32" s="322">
        <f>+HLOOKUP($T$4,BDEST,ESTADISTICAS!A50,FALSE)</f>
        <v>531</v>
      </c>
      <c r="U32" s="322">
        <f>+HLOOKUP($U$4,BDEST,ESTADISTICAS!A50,FALSE)</f>
        <v>804</v>
      </c>
      <c r="V32" s="322">
        <f>+IF($V$4=" "," ",HLOOKUP($V$4,BDEST,ESTADISTICAS!A50,FALSE))</f>
        <v>187</v>
      </c>
      <c r="Z32" s="325"/>
    </row>
    <row r="33" spans="12:26" x14ac:dyDescent="0.2">
      <c r="S33" s="327" t="str">
        <f>+IF(T33&gt;0,ESTADISTICAS!B51," ")</f>
        <v>Feb-Jun 2024</v>
      </c>
      <c r="T33" s="322">
        <f>+HLOOKUP($T$4,BDEST,ESTADISTICAS!A51,FALSE)</f>
        <v>501</v>
      </c>
      <c r="U33" s="322">
        <f>+HLOOKUP($U$4,BDEST,ESTADISTICAS!A51,FALSE)</f>
        <v>764</v>
      </c>
      <c r="V33" s="322">
        <f>+IF($V$4=" "," ",HLOOKUP($V$4,BDEST,ESTADISTICAS!A51,FALSE))</f>
        <v>202</v>
      </c>
      <c r="Z33" s="326"/>
    </row>
    <row r="34" spans="12:26" x14ac:dyDescent="0.2">
      <c r="S34" s="327" t="str">
        <f>+IF(T34&gt;0,ESTADISTICAS!B52," ")</f>
        <v>Ago-Dic 2024</v>
      </c>
      <c r="T34" s="322">
        <f>+HLOOKUP($T$4,BDEST,ESTADISTICAS!A52,FALSE)</f>
        <v>531</v>
      </c>
      <c r="U34" s="322">
        <f>+HLOOKUP($U$4,BDEST,ESTADISTICAS!A52,FALSE)</f>
        <v>854</v>
      </c>
      <c r="V34" s="322">
        <f>+IF($V$4=" "," ",HLOOKUP($V$4,BDEST,ESTADISTICAS!A52,FALSE))</f>
        <v>212</v>
      </c>
    </row>
    <row r="35" spans="12:26" x14ac:dyDescent="0.2">
      <c r="L35" s="321" t="s">
        <v>198</v>
      </c>
      <c r="S35" s="327" t="str">
        <f>+IF(T35&gt;0,ESTADISTICAS!B53," ")</f>
        <v>Feb-Jun 2025</v>
      </c>
      <c r="T35" s="322">
        <f>+HLOOKUP($T$4,BDEST,ESTADISTICAS!A53,FALSE)</f>
        <v>501</v>
      </c>
      <c r="U35" s="322">
        <f>+HLOOKUP($U$4,BDEST,ESTADISTICAS!A53,FALSE)</f>
        <v>814</v>
      </c>
      <c r="V35" s="322">
        <f>+IF($V$4=" "," ",HLOOKUP($V$4,BDEST,ESTADISTICAS!A53,FALSE))</f>
        <v>227</v>
      </c>
    </row>
    <row r="39" spans="12:26" x14ac:dyDescent="0.2">
      <c r="L39" s="330"/>
      <c r="O39" s="329">
        <f ca="1">NOW()</f>
        <v>43768.753771875003</v>
      </c>
    </row>
  </sheetData>
  <mergeCells count="2">
    <mergeCell ref="K3:P3"/>
    <mergeCell ref="E4:P4"/>
  </mergeCells>
  <conditionalFormatting sqref="K1">
    <cfRule type="cellIs" dxfId="13" priority="3" stopIfTrue="1" operator="lessThan">
      <formula>0</formula>
    </cfRule>
  </conditionalFormatting>
  <conditionalFormatting sqref="Z20">
    <cfRule type="cellIs" dxfId="12" priority="2" stopIfTrue="1" operator="lessThan">
      <formula>0</formula>
    </cfRule>
  </conditionalFormatting>
  <conditionalFormatting sqref="AA4">
    <cfRule type="cellIs" dxfId="11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K3:P3">
      <formula1>$Z$3:$Z$8</formula1>
    </dataValidation>
  </dataValidation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9"/>
  <sheetViews>
    <sheetView workbookViewId="0">
      <selection activeCell="C7" sqref="C7"/>
    </sheetView>
  </sheetViews>
  <sheetFormatPr baseColWidth="10" defaultColWidth="11.42578125" defaultRowHeight="12.75" x14ac:dyDescent="0.2"/>
  <cols>
    <col min="1" max="1" width="11.42578125" style="322"/>
    <col min="2" max="2" width="12.28515625" style="322" bestFit="1" customWidth="1"/>
    <col min="3" max="10" width="11.42578125" style="322"/>
    <col min="11" max="11" width="32.140625" style="322" customWidth="1"/>
    <col min="12" max="25" width="11.42578125" style="322"/>
    <col min="26" max="26" width="39.7109375" style="322" customWidth="1"/>
    <col min="27" max="16384" width="11.42578125" style="322"/>
  </cols>
  <sheetData>
    <row r="2" spans="1:26" x14ac:dyDescent="0.2">
      <c r="A2" s="360" t="s">
        <v>191</v>
      </c>
      <c r="D2" s="500"/>
      <c r="E2" s="500"/>
      <c r="F2" s="500"/>
      <c r="G2" s="500"/>
      <c r="H2" s="500"/>
      <c r="I2" s="500"/>
      <c r="J2" s="500"/>
      <c r="K2" s="500"/>
      <c r="L2" s="500"/>
      <c r="M2" s="500"/>
    </row>
    <row r="3" spans="1:26" x14ac:dyDescent="0.2">
      <c r="A3" s="361" t="s">
        <v>208</v>
      </c>
      <c r="K3" s="325"/>
      <c r="L3" s="325"/>
      <c r="M3" s="325"/>
      <c r="N3" s="325"/>
      <c r="O3" s="325"/>
      <c r="P3" s="325"/>
      <c r="Q3" s="325"/>
      <c r="R3" s="325"/>
      <c r="S3" s="325"/>
      <c r="T3" s="325"/>
      <c r="U3" s="325"/>
      <c r="V3" s="325"/>
      <c r="W3" s="326"/>
      <c r="X3" s="326"/>
    </row>
    <row r="4" spans="1:26" x14ac:dyDescent="0.2">
      <c r="A4" s="360" t="s">
        <v>166</v>
      </c>
      <c r="B4" s="346" t="s">
        <v>112</v>
      </c>
    </row>
    <row r="5" spans="1:26" ht="30" x14ac:dyDescent="0.4">
      <c r="B5" s="380" t="s">
        <v>209</v>
      </c>
      <c r="D5" s="501" t="str">
        <f>+B4</f>
        <v>ING. INDUSTRIAL</v>
      </c>
      <c r="E5" s="501"/>
      <c r="F5" s="501"/>
      <c r="G5" s="501"/>
      <c r="H5" s="501"/>
      <c r="I5" s="501"/>
      <c r="J5" s="501"/>
      <c r="K5" s="501"/>
      <c r="L5" s="501"/>
      <c r="M5" s="501"/>
      <c r="Z5" s="332" t="s">
        <v>214</v>
      </c>
    </row>
    <row r="6" spans="1:26" x14ac:dyDescent="0.2">
      <c r="G6" s="321"/>
      <c r="Z6" s="332" t="s">
        <v>215</v>
      </c>
    </row>
    <row r="7" spans="1:26" x14ac:dyDescent="0.2">
      <c r="A7" s="322" t="str">
        <f>+ESTADISTICAS!B7</f>
        <v>Feb-Jun 2002</v>
      </c>
      <c r="B7" s="322">
        <f>+HLOOKUP($B$4,DBESTLIQ,ESTADISTICAS!A7,FALSE)</f>
        <v>868</v>
      </c>
      <c r="D7" s="502" t="s">
        <v>213</v>
      </c>
      <c r="E7" s="500"/>
      <c r="F7" s="500"/>
      <c r="G7" s="500"/>
      <c r="H7" s="500"/>
      <c r="I7" s="500"/>
      <c r="J7" s="500"/>
      <c r="K7" s="500"/>
      <c r="L7" s="500"/>
      <c r="M7" s="500"/>
      <c r="Z7" s="332" t="s">
        <v>207</v>
      </c>
    </row>
    <row r="8" spans="1:26" x14ac:dyDescent="0.2">
      <c r="A8" s="322" t="str">
        <f>+ESTADISTICAS!B8</f>
        <v>Ago-Dic 2002</v>
      </c>
      <c r="B8" s="322">
        <f>+HLOOKUP($B$4,DBESTLIQ,ESTADISTICAS!A8,FALSE)</f>
        <v>953</v>
      </c>
      <c r="Z8" s="332" t="s">
        <v>206</v>
      </c>
    </row>
    <row r="9" spans="1:26" x14ac:dyDescent="0.2">
      <c r="A9" s="322" t="str">
        <f>+ESTADISTICAS!B9</f>
        <v>Feb-Jun 2003</v>
      </c>
      <c r="B9" s="322">
        <f>+HLOOKUP($B$4,DBESTLIQ,ESTADISTICAS!A9,FALSE)</f>
        <v>757</v>
      </c>
      <c r="Z9" s="332" t="s">
        <v>112</v>
      </c>
    </row>
    <row r="10" spans="1:26" x14ac:dyDescent="0.2">
      <c r="A10" s="322" t="str">
        <f>+ESTADISTICAS!B10</f>
        <v>Ago-Dic 2003</v>
      </c>
      <c r="B10" s="322">
        <f>+HLOOKUP($B$4,DBESTLIQ,ESTADISTICAS!A10,FALSE)</f>
        <v>823</v>
      </c>
      <c r="Z10" s="332" t="s">
        <v>205</v>
      </c>
    </row>
    <row r="11" spans="1:26" x14ac:dyDescent="0.2">
      <c r="A11" s="322" t="str">
        <f>+ESTADISTICAS!B11</f>
        <v>Feb-Jun 2004</v>
      </c>
      <c r="B11" s="322">
        <f>+HLOOKUP($B$4,DBESTLIQ,ESTADISTICAS!A11,FALSE)</f>
        <v>674</v>
      </c>
      <c r="Z11" s="332" t="s">
        <v>196</v>
      </c>
    </row>
    <row r="12" spans="1:26" x14ac:dyDescent="0.2">
      <c r="A12" s="322" t="str">
        <f>+ESTADISTICAS!B12</f>
        <v>Ago-Dic 2004</v>
      </c>
      <c r="B12" s="322">
        <f>+HLOOKUP($B$4,DBESTLIQ,ESTADISTICAS!A12,FALSE)</f>
        <v>712</v>
      </c>
      <c r="Z12" s="332" t="s">
        <v>204</v>
      </c>
    </row>
    <row r="13" spans="1:26" x14ac:dyDescent="0.2">
      <c r="A13" s="322" t="str">
        <f>+ESTADISTICAS!B13</f>
        <v>Feb-Jun 2005</v>
      </c>
      <c r="B13" s="322">
        <f>+HLOOKUP($B$4,DBESTLIQ,ESTADISTICAS!A13,FALSE)</f>
        <v>583</v>
      </c>
      <c r="Z13" s="332" t="s">
        <v>203</v>
      </c>
    </row>
    <row r="14" spans="1:26" x14ac:dyDescent="0.2">
      <c r="A14" s="322" t="str">
        <f>+ESTADISTICAS!B14</f>
        <v>Ago-Dic 2005</v>
      </c>
      <c r="B14" s="322">
        <f>+HLOOKUP($B$4,DBESTLIQ,ESTADISTICAS!A14,FALSE)</f>
        <v>651</v>
      </c>
      <c r="Z14" s="323" t="s">
        <v>185</v>
      </c>
    </row>
    <row r="15" spans="1:26" x14ac:dyDescent="0.2">
      <c r="A15" s="322" t="str">
        <f>+ESTADISTICAS!B15</f>
        <v>Feb-Jun 2006</v>
      </c>
      <c r="B15" s="322">
        <f>+HLOOKUP($B$4,DBESTLIQ,ESTADISTICAS!A15,FALSE)</f>
        <v>533</v>
      </c>
      <c r="Z15" s="323"/>
    </row>
    <row r="16" spans="1:26" x14ac:dyDescent="0.2">
      <c r="A16" s="322" t="str">
        <f>+ESTADISTICAS!B16</f>
        <v>Ago-Dic 2006</v>
      </c>
      <c r="B16" s="322">
        <f>+HLOOKUP($B$4,DBESTLIQ,ESTADISTICAS!A16,FALSE)</f>
        <v>595</v>
      </c>
      <c r="Z16" s="323"/>
    </row>
    <row r="17" spans="1:2" x14ac:dyDescent="0.2">
      <c r="A17" s="322" t="str">
        <f>+ESTADISTICAS!B17</f>
        <v>Feb-Jun 2007</v>
      </c>
      <c r="B17" s="322">
        <f>+HLOOKUP($B$4,DBESTLIQ,ESTADISTICAS!A17,FALSE)</f>
        <v>485</v>
      </c>
    </row>
    <row r="18" spans="1:2" x14ac:dyDescent="0.2">
      <c r="A18" s="322" t="str">
        <f>+ESTADISTICAS!B18</f>
        <v>Ago-Dic 2007</v>
      </c>
      <c r="B18" s="322">
        <f>+HLOOKUP($B$4,DBESTLIQ,ESTADISTICAS!A18,FALSE)</f>
        <v>542</v>
      </c>
    </row>
    <row r="19" spans="1:2" x14ac:dyDescent="0.2">
      <c r="A19" s="322" t="str">
        <f>+ESTADISTICAS!B19</f>
        <v>Feb-Jun 2008</v>
      </c>
      <c r="B19" s="322">
        <f>+HLOOKUP($B$4,DBESTLIQ,ESTADISTICAS!A19,FALSE)</f>
        <v>464</v>
      </c>
    </row>
    <row r="20" spans="1:2" x14ac:dyDescent="0.2">
      <c r="A20" s="322" t="str">
        <f>+ESTADISTICAS!B20</f>
        <v>Ago-Dic 2008</v>
      </c>
      <c r="B20" s="322">
        <f>+HLOOKUP($B$4,DBESTLIQ,ESTADISTICAS!A20,FALSE)</f>
        <v>604</v>
      </c>
    </row>
    <row r="21" spans="1:2" x14ac:dyDescent="0.2">
      <c r="A21" s="322" t="str">
        <f>+ESTADISTICAS!B21</f>
        <v>Feb-Jun 2009</v>
      </c>
      <c r="B21" s="322">
        <f>+HLOOKUP($B$4,DBESTLIQ,ESTADISTICAS!A21,FALSE)</f>
        <v>552</v>
      </c>
    </row>
    <row r="22" spans="1:2" x14ac:dyDescent="0.2">
      <c r="A22" s="322" t="str">
        <f>+ESTADISTICAS!B22</f>
        <v>Ago-Dic 2009</v>
      </c>
      <c r="B22" s="322">
        <f>+HLOOKUP($B$4,DBESTLIQ,ESTADISTICAS!A22,FALSE)</f>
        <v>623</v>
      </c>
    </row>
    <row r="23" spans="1:2" x14ac:dyDescent="0.2">
      <c r="A23" s="322" t="str">
        <f>+ESTADISTICAS!B23</f>
        <v>Feb-Jun 2010</v>
      </c>
      <c r="B23" s="322">
        <f>+HLOOKUP($B$4,DBESTLIQ,ESTADISTICAS!A23,FALSE)</f>
        <v>526</v>
      </c>
    </row>
    <row r="24" spans="1:2" x14ac:dyDescent="0.2">
      <c r="A24" s="322" t="str">
        <f>+ESTADISTICAS!B24</f>
        <v>Ago-Dic 2010</v>
      </c>
      <c r="B24" s="322">
        <f>+HLOOKUP($B$4,DBESTLIQ,ESTADISTICAS!A24,FALSE)</f>
        <v>439</v>
      </c>
    </row>
    <row r="25" spans="1:2" x14ac:dyDescent="0.2">
      <c r="A25" s="322" t="str">
        <f>+ESTADISTICAS!B25</f>
        <v>Feb-Jun 2011</v>
      </c>
      <c r="B25" s="322">
        <f>+HLOOKUP($B$4,DBESTLIQ,ESTADISTICAS!A25,FALSE)</f>
        <v>380</v>
      </c>
    </row>
    <row r="26" spans="1:2" x14ac:dyDescent="0.2">
      <c r="A26" s="322" t="str">
        <f>+ESTADISTICAS!B26</f>
        <v>Ago-Dic 2011</v>
      </c>
      <c r="B26" s="322">
        <f>+HLOOKUP($B$4,DBESTLIQ,ESTADISTICAS!A26,FALSE)</f>
        <v>319</v>
      </c>
    </row>
    <row r="27" spans="1:2" x14ac:dyDescent="0.2">
      <c r="A27" s="322" t="str">
        <f>+ESTADISTICAS!B27</f>
        <v>Feb-Jun 2012</v>
      </c>
      <c r="B27" s="322">
        <f>+HLOOKUP($B$4,DBESTLIQ,ESTADISTICAS!A27,FALSE)</f>
        <v>257</v>
      </c>
    </row>
    <row r="28" spans="1:2" x14ac:dyDescent="0.2">
      <c r="A28" s="322" t="str">
        <f>+ESTADISTICAS!B28</f>
        <v>Ago-Dic 2012</v>
      </c>
      <c r="B28" s="322">
        <f>+HLOOKUP($B$4,DBESTLIQ,ESTADISTICAS!A28,FALSE)</f>
        <v>205</v>
      </c>
    </row>
    <row r="29" spans="1:2" x14ac:dyDescent="0.2">
      <c r="A29" s="322" t="str">
        <f>+ESTADISTICAS!B29</f>
        <v>Feb-Jun 2013</v>
      </c>
      <c r="B29" s="322">
        <f>+HLOOKUP($B$4,DBESTLIQ,ESTADISTICAS!A29,FALSE)</f>
        <v>158</v>
      </c>
    </row>
    <row r="30" spans="1:2" x14ac:dyDescent="0.2">
      <c r="A30" s="322" t="str">
        <f>+ESTADISTICAS!B30</f>
        <v>Ago-Dic 2013</v>
      </c>
      <c r="B30" s="322">
        <f>+HLOOKUP($B$4,DBESTLIQ,ESTADISTICAS!A30,FALSE)</f>
        <v>116</v>
      </c>
    </row>
    <row r="31" spans="1:2" x14ac:dyDescent="0.2">
      <c r="A31" s="322" t="str">
        <f>+ESTADISTICAS!B31</f>
        <v>Feb-Jun 2014</v>
      </c>
      <c r="B31" s="322">
        <f>+HLOOKUP($B$4,DBESTLIQ,ESTADISTICAS!A31,FALSE)</f>
        <v>76</v>
      </c>
    </row>
    <row r="32" spans="1:2" x14ac:dyDescent="0.2">
      <c r="A32" s="322" t="str">
        <f>+ESTADISTICAS!B32</f>
        <v>Ago-Dic 2014</v>
      </c>
      <c r="B32" s="322">
        <f>+HLOOKUP($B$4,DBESTLIQ,ESTADISTICAS!A32,FALSE)</f>
        <v>27</v>
      </c>
    </row>
    <row r="33" spans="1:11" x14ac:dyDescent="0.2">
      <c r="A33" s="322" t="str">
        <f>+ESTADISTICAS!B33</f>
        <v>Feb-Jun 2015</v>
      </c>
      <c r="B33" s="322">
        <f>+HLOOKUP($B$4,DBESTLIQ,ESTADISTICAS!A33,FALSE)</f>
        <v>18</v>
      </c>
    </row>
    <row r="34" spans="1:11" x14ac:dyDescent="0.2">
      <c r="A34" s="322" t="str">
        <f>+ESTADISTICAS!B34</f>
        <v>Ago-Dic 2015</v>
      </c>
      <c r="B34" s="322">
        <f>+HLOOKUP($B$4,DBESTLIQ,ESTADISTICAS!A34,FALSE)</f>
        <v>17</v>
      </c>
    </row>
    <row r="35" spans="1:11" x14ac:dyDescent="0.2">
      <c r="A35" s="322" t="str">
        <f>+ESTADISTICAS!B35</f>
        <v>Feb-Jun 2016</v>
      </c>
      <c r="B35" s="322">
        <f>+HLOOKUP($B$4,DBESTLIQ,ESTADISTICAS!A35,FALSE)</f>
        <v>7</v>
      </c>
    </row>
    <row r="36" spans="1:11" x14ac:dyDescent="0.2">
      <c r="A36" s="322" t="str">
        <f>+ESTADISTICAS!B36</f>
        <v>Ago-Dic 2016</v>
      </c>
      <c r="B36" s="322">
        <f>+HLOOKUP($B$4,DBESTLIQ,ESTADISTICAS!A36,FALSE)</f>
        <v>2</v>
      </c>
    </row>
    <row r="37" spans="1:11" x14ac:dyDescent="0.2">
      <c r="A37" s="322" t="str">
        <f>+ESTADISTICAS!B37</f>
        <v>Feb-Jun 2017</v>
      </c>
      <c r="B37" s="322">
        <f>+HLOOKUP($B$4,DBESTLIQ,ESTADISTICAS!A37,FALSE)</f>
        <v>1</v>
      </c>
    </row>
    <row r="38" spans="1:11" x14ac:dyDescent="0.2">
      <c r="A38" s="322" t="str">
        <f>+ESTADISTICAS!B38</f>
        <v>Ago-Dic 2017</v>
      </c>
      <c r="B38" s="322">
        <f>+HLOOKUP($B$4,DBESTLIQ,ESTADISTICAS!A38,FALSE)</f>
        <v>1</v>
      </c>
      <c r="K38" s="329">
        <f ca="1">NOW()</f>
        <v>43768.753771875003</v>
      </c>
    </row>
    <row r="39" spans="1:11" x14ac:dyDescent="0.2">
      <c r="A39" s="322" t="str">
        <f>+ESTADISTICAS!B39</f>
        <v>Feb-Jun 2018</v>
      </c>
      <c r="B39" s="322">
        <f>+HLOOKUP($B$4,DBESTLIQ,ESTADISTICAS!A39,FALSE)</f>
        <v>0</v>
      </c>
    </row>
  </sheetData>
  <sheetProtection algorithmName="SHA-512" hashValue="t0KBwSVRWvvNxE4RzhFdv54uVvEkr3iC/jRApLOyqPHdAG/ljhb2E2B1QqUvUI4Glaijzui0SzVBonbh8xOu2w==" saltValue="rGv18JEbkUVoU5sTKC7LiA==" spinCount="100000" sheet="1" objects="1" scenarios="1"/>
  <mergeCells count="3">
    <mergeCell ref="D2:M2"/>
    <mergeCell ref="D5:M5"/>
    <mergeCell ref="D7:M7"/>
  </mergeCells>
  <conditionalFormatting sqref="Z5">
    <cfRule type="cellIs" dxfId="10" priority="1" stopIfTrue="1" operator="lessThan">
      <formula>0</formula>
    </cfRule>
  </conditionalFormatting>
  <conditionalFormatting sqref="K3">
    <cfRule type="cellIs" dxfId="9" priority="2" stopIfTrue="1" operator="lessThan">
      <formula>0</formula>
    </cfRule>
  </conditionalFormatting>
  <dataValidations disablePrompts="1" count="1">
    <dataValidation type="list" allowBlank="1" showInputMessage="1" showErrorMessage="1" promptTitle="SELECCIONAR" prompt="Selecionar de la lista desplejable" sqref="B4">
      <formula1>$Z$5:$Z$16</formula1>
    </dataValidation>
  </dataValidation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24"/>
  <sheetViews>
    <sheetView topLeftCell="A5" workbookViewId="0">
      <selection activeCell="C21" sqref="C21"/>
    </sheetView>
  </sheetViews>
  <sheetFormatPr baseColWidth="10" defaultColWidth="11.42578125" defaultRowHeight="12.75" x14ac:dyDescent="0.2"/>
  <cols>
    <col min="1" max="1" width="5.140625" style="322" customWidth="1"/>
    <col min="2" max="2" width="31.85546875" style="322" customWidth="1"/>
    <col min="3" max="3" width="12" style="347" customWidth="1"/>
    <col min="4" max="11" width="11.42578125" style="322"/>
    <col min="12" max="12" width="32.140625" style="322" customWidth="1"/>
    <col min="13" max="26" width="11.42578125" style="322"/>
    <col min="27" max="27" width="39.7109375" style="322" customWidth="1"/>
    <col min="28" max="16384" width="11.42578125" style="322"/>
  </cols>
  <sheetData>
    <row r="3" spans="1:27" x14ac:dyDescent="0.2">
      <c r="B3" s="376" t="s">
        <v>223</v>
      </c>
      <c r="L3" s="325"/>
      <c r="M3" s="325"/>
      <c r="N3" s="325"/>
      <c r="O3" s="325"/>
      <c r="P3" s="325"/>
      <c r="Q3" s="325"/>
      <c r="R3" s="325"/>
      <c r="S3" s="325"/>
      <c r="T3" s="325"/>
      <c r="U3" s="325"/>
      <c r="V3" s="325"/>
      <c r="W3" s="325"/>
      <c r="X3" s="326"/>
      <c r="Y3" s="326"/>
    </row>
    <row r="4" spans="1:27" ht="23.25" x14ac:dyDescent="0.35">
      <c r="B4" s="376">
        <f>+VLOOKUP(C4,periodos2,2,FALSE)</f>
        <v>37</v>
      </c>
      <c r="C4" s="349" t="s">
        <v>141</v>
      </c>
      <c r="E4" s="503" t="s">
        <v>247</v>
      </c>
      <c r="F4" s="503"/>
      <c r="G4" s="503"/>
      <c r="H4" s="503"/>
      <c r="I4" s="503"/>
      <c r="J4" s="503"/>
      <c r="K4" s="503"/>
      <c r="L4" s="503"/>
    </row>
    <row r="5" spans="1:27" ht="26.25" x14ac:dyDescent="0.4">
      <c r="E5" s="504" t="str">
        <f>+C4</f>
        <v>Ago-Dic 2019</v>
      </c>
      <c r="F5" s="504"/>
      <c r="G5" s="504"/>
      <c r="H5" s="504"/>
      <c r="I5" s="504"/>
      <c r="J5" s="504"/>
      <c r="K5" s="504"/>
      <c r="L5" s="504"/>
      <c r="AA5" s="323" t="s">
        <v>110</v>
      </c>
    </row>
    <row r="6" spans="1:27" x14ac:dyDescent="0.2">
      <c r="AA6" s="323" t="s">
        <v>111</v>
      </c>
    </row>
    <row r="7" spans="1:27" x14ac:dyDescent="0.2">
      <c r="A7" s="321" t="s">
        <v>237</v>
      </c>
      <c r="B7" s="322" t="str">
        <f>ESTADISTICAS!M6</f>
        <v>ING. ELECTRÓNICA</v>
      </c>
      <c r="C7" s="347">
        <f>+HLOOKUP(B7,BDEST,B4,FALSE)</f>
        <v>174</v>
      </c>
      <c r="AA7" s="323" t="s">
        <v>112</v>
      </c>
    </row>
    <row r="8" spans="1:27" x14ac:dyDescent="0.2">
      <c r="A8" s="321" t="s">
        <v>234</v>
      </c>
      <c r="B8" s="322" t="str">
        <f>+ESTADISTICAS!N$6</f>
        <v>ING. ELÉCTRICA</v>
      </c>
      <c r="C8" s="350">
        <f>+HLOOKUP(B8,BDEST,B4,FALSE)</f>
        <v>265</v>
      </c>
      <c r="AA8" s="323" t="s">
        <v>113</v>
      </c>
    </row>
    <row r="9" spans="1:27" x14ac:dyDescent="0.2">
      <c r="A9" s="321" t="s">
        <v>235</v>
      </c>
      <c r="B9" s="322" t="str">
        <f>+ESTADISTICAS!O$6</f>
        <v>ING. INDUSTRIAL</v>
      </c>
      <c r="C9" s="350">
        <f>+HLOOKUP(B9,BDEST,B4,FALSE)</f>
        <v>832</v>
      </c>
      <c r="AA9" s="323" t="s">
        <v>195</v>
      </c>
    </row>
    <row r="10" spans="1:27" x14ac:dyDescent="0.2">
      <c r="A10" s="321" t="s">
        <v>236</v>
      </c>
      <c r="B10" s="322" t="str">
        <f>+ESTADISTICAS!P$6</f>
        <v>ING. MECÁNICA</v>
      </c>
      <c r="C10" s="350">
        <f t="shared" ref="C10:C19" si="0">+HLOOKUP(B10,BDEST,$B$4,FALSE)</f>
        <v>531</v>
      </c>
      <c r="AA10" s="323" t="s">
        <v>114</v>
      </c>
    </row>
    <row r="11" spans="1:27" x14ac:dyDescent="0.2">
      <c r="A11" s="321" t="s">
        <v>238</v>
      </c>
      <c r="B11" s="322" t="str">
        <f>+ESTADISTICAS!Q$6</f>
        <v>ING. EN SISTEMAS COMPUTACIONALES</v>
      </c>
      <c r="C11" s="375">
        <f t="shared" si="0"/>
        <v>398</v>
      </c>
      <c r="AA11" s="323" t="s">
        <v>115</v>
      </c>
    </row>
    <row r="12" spans="1:27" x14ac:dyDescent="0.2">
      <c r="A12" s="321" t="s">
        <v>239</v>
      </c>
      <c r="B12" s="322" t="str">
        <f>+ESTADISTICAS!R$6</f>
        <v>ING. QUÍMICA</v>
      </c>
      <c r="C12" s="375">
        <f t="shared" si="0"/>
        <v>303</v>
      </c>
      <c r="AA12" s="323" t="s">
        <v>116</v>
      </c>
    </row>
    <row r="13" spans="1:27" ht="15.75" x14ac:dyDescent="0.25">
      <c r="A13" s="321" t="s">
        <v>240</v>
      </c>
      <c r="B13" s="322" t="str">
        <f>+ESTADISTICAS!S$6</f>
        <v>ING. MECATRÓNICA</v>
      </c>
      <c r="C13" s="375">
        <f t="shared" si="0"/>
        <v>604</v>
      </c>
      <c r="K13" s="406">
        <f>+C22</f>
        <v>4165</v>
      </c>
      <c r="L13" s="406" t="s">
        <v>246</v>
      </c>
      <c r="AA13" s="323" t="s">
        <v>105</v>
      </c>
    </row>
    <row r="14" spans="1:27" x14ac:dyDescent="0.2">
      <c r="A14" s="321" t="s">
        <v>241</v>
      </c>
      <c r="B14" s="322" t="str">
        <f>+ESTADISTICAS!T$6</f>
        <v>ING. EN LOGÍSTICA</v>
      </c>
      <c r="C14" s="375">
        <f t="shared" si="0"/>
        <v>235</v>
      </c>
      <c r="AA14" s="323" t="s">
        <v>167</v>
      </c>
    </row>
    <row r="15" spans="1:27" x14ac:dyDescent="0.2">
      <c r="A15" s="321" t="s">
        <v>242</v>
      </c>
      <c r="B15" s="322" t="str">
        <f>+ESTADISTICAS!U$6</f>
        <v>ING EN ENERGÍAS RENOVABLES</v>
      </c>
      <c r="C15" s="375">
        <f t="shared" si="0"/>
        <v>245</v>
      </c>
      <c r="AA15" s="323" t="s">
        <v>87</v>
      </c>
    </row>
    <row r="16" spans="1:27" x14ac:dyDescent="0.2">
      <c r="A16" s="321" t="s">
        <v>107</v>
      </c>
      <c r="B16" s="322" t="str">
        <f>+ESTADISTICAS!V$6</f>
        <v>CONTADOR PÚBLICO</v>
      </c>
      <c r="C16" s="375">
        <f t="shared" si="0"/>
        <v>238</v>
      </c>
      <c r="AA16" s="323" t="s">
        <v>117</v>
      </c>
    </row>
    <row r="17" spans="1:27" x14ac:dyDescent="0.2">
      <c r="A17" s="321" t="s">
        <v>243</v>
      </c>
      <c r="B17" s="322" t="str">
        <f>+ESTADISTICAS!W$6</f>
        <v>ING. EN GESTIÓN EMPRESARIAL</v>
      </c>
      <c r="C17" s="375">
        <f t="shared" si="0"/>
        <v>268</v>
      </c>
      <c r="AA17" s="323" t="s">
        <v>185</v>
      </c>
    </row>
    <row r="18" spans="1:27" x14ac:dyDescent="0.2">
      <c r="A18" s="321" t="s">
        <v>244</v>
      </c>
      <c r="B18" s="322" t="str">
        <f>+ESTADISTICAS!X$6</f>
        <v>ING. EN INFORMÁTICA</v>
      </c>
      <c r="C18" s="381">
        <f t="shared" si="0"/>
        <v>0</v>
      </c>
      <c r="AA18" s="325"/>
    </row>
    <row r="19" spans="1:27" x14ac:dyDescent="0.2">
      <c r="A19" s="321" t="s">
        <v>245</v>
      </c>
      <c r="B19" s="322" t="str">
        <f>+ESTADISTICAS!Y$6</f>
        <v>ING. EN MATERIALES</v>
      </c>
      <c r="C19" s="375">
        <f t="shared" si="0"/>
        <v>72</v>
      </c>
    </row>
    <row r="20" spans="1:27" x14ac:dyDescent="0.2">
      <c r="B20" s="321" t="s">
        <v>210</v>
      </c>
      <c r="C20" s="350">
        <f>SUM(C7:C19)</f>
        <v>4165</v>
      </c>
    </row>
    <row r="21" spans="1:27" x14ac:dyDescent="0.2">
      <c r="B21" s="359" t="s">
        <v>222</v>
      </c>
      <c r="C21" s="375">
        <f>+HLOOKUP(B21,BDEST,$B$4,FALSE)</f>
        <v>0</v>
      </c>
    </row>
    <row r="22" spans="1:27" x14ac:dyDescent="0.2">
      <c r="B22" s="321" t="s">
        <v>252</v>
      </c>
      <c r="C22" s="347">
        <f>+C20+C21</f>
        <v>4165</v>
      </c>
    </row>
    <row r="23" spans="1:27" x14ac:dyDescent="0.2">
      <c r="B23" s="322" t="s">
        <v>250</v>
      </c>
      <c r="C23" s="410">
        <f t="shared" ref="C23" si="1">+HLOOKUP(B23,BDEST,$B$4,FALSE)</f>
        <v>4</v>
      </c>
    </row>
    <row r="24" spans="1:27" x14ac:dyDescent="0.2">
      <c r="B24" s="322" t="s">
        <v>272</v>
      </c>
      <c r="C24" s="439">
        <f>+HLOOKUP(B24,BDEST,$B$4,FALSE)</f>
        <v>3</v>
      </c>
    </row>
  </sheetData>
  <mergeCells count="2">
    <mergeCell ref="E4:L4"/>
    <mergeCell ref="E5:L5"/>
  </mergeCells>
  <conditionalFormatting sqref="AA5">
    <cfRule type="cellIs" dxfId="8" priority="1" stopIfTrue="1" operator="lessThan">
      <formula>0</formula>
    </cfRule>
  </conditionalFormatting>
  <conditionalFormatting sqref="L3">
    <cfRule type="cellIs" dxfId="7" priority="2" stopIfTrue="1" operator="lessThan">
      <formula>0</formula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326" yWindow="297" count="1">
        <x14:dataValidation type="list" allowBlank="1" showInputMessage="1" showErrorMessage="1" promptTitle="SELECCIONAR" prompt="Seleccionar de la lista desplejable">
          <x14:formula1>
            <xm:f>EST_ITM!$A$65:$A$84</xm:f>
          </x14:formula1>
          <xm:sqref>C4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3"/>
  <sheetViews>
    <sheetView workbookViewId="0">
      <selection activeCell="R17" sqref="R17"/>
    </sheetView>
  </sheetViews>
  <sheetFormatPr baseColWidth="10" defaultColWidth="11.42578125" defaultRowHeight="12.75" x14ac:dyDescent="0.2"/>
  <cols>
    <col min="1" max="1" width="11.42578125" style="322"/>
    <col min="2" max="5" width="7.5703125" style="322" customWidth="1"/>
    <col min="6" max="13" width="4.85546875" style="322" customWidth="1"/>
    <col min="14" max="14" width="4.7109375" style="322" customWidth="1"/>
    <col min="15" max="15" width="4.42578125" style="322" customWidth="1"/>
    <col min="16" max="29" width="5.5703125" style="322" customWidth="1"/>
    <col min="30" max="30" width="12.7109375" style="322" bestFit="1" customWidth="1"/>
    <col min="31" max="31" width="32" style="322" customWidth="1"/>
    <col min="32" max="32" width="11.42578125" style="327"/>
    <col min="33" max="33" width="10.140625" style="327" customWidth="1"/>
    <col min="34" max="34" width="12.5703125" style="322" customWidth="1"/>
    <col min="35" max="16384" width="11.42578125" style="322"/>
  </cols>
  <sheetData>
    <row r="1" spans="1:36" ht="13.5" thickBot="1" x14ac:dyDescent="0.25">
      <c r="A1" s="321" t="s">
        <v>264</v>
      </c>
      <c r="B1" s="431">
        <f>+SUM(B4:B103)</f>
        <v>145</v>
      </c>
      <c r="C1" s="431">
        <f t="shared" ref="C1:AC1" si="0">+SUM(C4:C103)</f>
        <v>221</v>
      </c>
      <c r="D1" s="431">
        <f t="shared" si="0"/>
        <v>128</v>
      </c>
      <c r="E1" s="431">
        <f t="shared" si="0"/>
        <v>43</v>
      </c>
      <c r="F1" s="431">
        <f t="shared" si="0"/>
        <v>733</v>
      </c>
      <c r="G1" s="431">
        <f t="shared" si="0"/>
        <v>365</v>
      </c>
      <c r="H1" s="431">
        <f t="shared" si="0"/>
        <v>2019</v>
      </c>
      <c r="I1" s="431">
        <f t="shared" si="0"/>
        <v>769</v>
      </c>
      <c r="J1" s="431">
        <f t="shared" si="0"/>
        <v>776</v>
      </c>
      <c r="K1" s="431">
        <f t="shared" si="0"/>
        <v>985</v>
      </c>
      <c r="L1" s="431">
        <f t="shared" si="0"/>
        <v>611</v>
      </c>
      <c r="M1" s="431">
        <f t="shared" si="0"/>
        <v>490</v>
      </c>
      <c r="N1" s="431">
        <f t="shared" si="0"/>
        <v>415</v>
      </c>
      <c r="O1" s="431">
        <f t="shared" si="0"/>
        <v>161</v>
      </c>
      <c r="P1" s="431">
        <f t="shared" si="0"/>
        <v>89</v>
      </c>
      <c r="Q1" s="431">
        <f t="shared" si="0"/>
        <v>136</v>
      </c>
      <c r="R1" s="431">
        <f t="shared" si="0"/>
        <v>101</v>
      </c>
      <c r="S1" s="431">
        <f t="shared" si="0"/>
        <v>63</v>
      </c>
      <c r="T1" s="431">
        <f t="shared" si="0"/>
        <v>74</v>
      </c>
      <c r="U1" s="431">
        <f t="shared" si="0"/>
        <v>169</v>
      </c>
      <c r="V1" s="431">
        <f t="shared" si="0"/>
        <v>431</v>
      </c>
      <c r="W1" s="431">
        <f t="shared" si="0"/>
        <v>29</v>
      </c>
      <c r="X1" s="431">
        <f t="shared" si="0"/>
        <v>146</v>
      </c>
      <c r="Y1" s="431">
        <f t="shared" si="0"/>
        <v>293</v>
      </c>
      <c r="Z1" s="431">
        <f t="shared" si="0"/>
        <v>130</v>
      </c>
      <c r="AA1" s="431">
        <f t="shared" si="0"/>
        <v>0</v>
      </c>
      <c r="AB1" s="431">
        <f t="shared" si="0"/>
        <v>9</v>
      </c>
      <c r="AC1" s="431">
        <f t="shared" si="0"/>
        <v>9531</v>
      </c>
    </row>
    <row r="2" spans="1:36" ht="13.5" hidden="1" thickBot="1" x14ac:dyDescent="0.25">
      <c r="B2" s="322">
        <v>5</v>
      </c>
      <c r="C2" s="322">
        <v>10</v>
      </c>
      <c r="D2" s="322">
        <v>15</v>
      </c>
      <c r="E2" s="322">
        <v>20</v>
      </c>
      <c r="F2" s="362">
        <v>25</v>
      </c>
      <c r="G2" s="322">
        <f>+F2+5</f>
        <v>30</v>
      </c>
      <c r="H2" s="322">
        <f t="shared" ref="H2:N2" si="1">+G2+5</f>
        <v>35</v>
      </c>
      <c r="I2" s="322">
        <f t="shared" si="1"/>
        <v>40</v>
      </c>
      <c r="J2" s="322">
        <f t="shared" si="1"/>
        <v>45</v>
      </c>
      <c r="K2" s="322">
        <f t="shared" si="1"/>
        <v>50</v>
      </c>
      <c r="L2" s="322">
        <f t="shared" si="1"/>
        <v>55</v>
      </c>
      <c r="M2" s="322">
        <f t="shared" si="1"/>
        <v>60</v>
      </c>
      <c r="N2" s="322">
        <f t="shared" si="1"/>
        <v>65</v>
      </c>
      <c r="O2" s="322">
        <f>+N2+6</f>
        <v>71</v>
      </c>
      <c r="P2" s="322">
        <f t="shared" ref="P2:AB2" si="2">+O2+6</f>
        <v>77</v>
      </c>
      <c r="Q2" s="322">
        <f t="shared" si="2"/>
        <v>83</v>
      </c>
      <c r="R2" s="322">
        <f>+Q2+6</f>
        <v>89</v>
      </c>
      <c r="S2" s="322">
        <f t="shared" si="2"/>
        <v>95</v>
      </c>
      <c r="T2" s="322">
        <f t="shared" si="2"/>
        <v>101</v>
      </c>
      <c r="U2" s="322">
        <f t="shared" si="2"/>
        <v>107</v>
      </c>
      <c r="V2" s="322">
        <f t="shared" si="2"/>
        <v>113</v>
      </c>
      <c r="W2" s="322">
        <f t="shared" si="2"/>
        <v>119</v>
      </c>
      <c r="X2" s="322">
        <f t="shared" si="2"/>
        <v>125</v>
      </c>
      <c r="Y2" s="322">
        <f t="shared" si="2"/>
        <v>131</v>
      </c>
      <c r="Z2" s="322">
        <f t="shared" si="2"/>
        <v>137</v>
      </c>
      <c r="AA2" s="322">
        <f t="shared" si="2"/>
        <v>143</v>
      </c>
      <c r="AB2" s="322">
        <f t="shared" si="2"/>
        <v>149</v>
      </c>
    </row>
    <row r="3" spans="1:36" s="321" customFormat="1" ht="16.5" thickTop="1" x14ac:dyDescent="0.25">
      <c r="B3" s="423" t="s">
        <v>259</v>
      </c>
      <c r="C3" s="423" t="s">
        <v>260</v>
      </c>
      <c r="D3" s="424" t="s">
        <v>261</v>
      </c>
      <c r="E3" s="423" t="s">
        <v>262</v>
      </c>
      <c r="F3" s="425" t="s">
        <v>237</v>
      </c>
      <c r="G3" s="422" t="s">
        <v>234</v>
      </c>
      <c r="H3" s="418" t="s">
        <v>235</v>
      </c>
      <c r="I3" s="418" t="s">
        <v>236</v>
      </c>
      <c r="J3" s="419" t="s">
        <v>253</v>
      </c>
      <c r="K3" s="419" t="s">
        <v>254</v>
      </c>
      <c r="L3" s="419" t="s">
        <v>238</v>
      </c>
      <c r="M3" s="418" t="s">
        <v>239</v>
      </c>
      <c r="N3" s="418" t="s">
        <v>240</v>
      </c>
      <c r="O3" s="416" t="s">
        <v>243</v>
      </c>
      <c r="P3" s="416" t="s">
        <v>241</v>
      </c>
      <c r="Q3" s="416" t="s">
        <v>107</v>
      </c>
      <c r="R3" s="417" t="s">
        <v>234</v>
      </c>
      <c r="S3" s="416" t="s">
        <v>237</v>
      </c>
      <c r="T3" s="416" t="s">
        <v>242</v>
      </c>
      <c r="U3" s="416" t="s">
        <v>238</v>
      </c>
      <c r="V3" s="416" t="s">
        <v>235</v>
      </c>
      <c r="W3" s="416" t="s">
        <v>255</v>
      </c>
      <c r="X3" s="416" t="s">
        <v>236</v>
      </c>
      <c r="Y3" s="417" t="s">
        <v>240</v>
      </c>
      <c r="Z3" s="416" t="s">
        <v>239</v>
      </c>
      <c r="AA3" s="416" t="s">
        <v>245</v>
      </c>
      <c r="AB3" s="416" t="s">
        <v>256</v>
      </c>
      <c r="AC3" s="420" t="s">
        <v>17</v>
      </c>
      <c r="AE3" s="506" t="s">
        <v>269</v>
      </c>
      <c r="AF3" s="506"/>
      <c r="AG3" s="506"/>
      <c r="AH3" s="506"/>
    </row>
    <row r="4" spans="1:36" s="321" customFormat="1" x14ac:dyDescent="0.2">
      <c r="A4" s="322" t="str">
        <f>+EST_ITM!A15</f>
        <v>Feb-Jun 1985</v>
      </c>
      <c r="B4" s="322">
        <f t="shared" ref="B4:B35" si="3">+VLOOKUP(A4,sabana,$B$2,FALSE)</f>
        <v>4</v>
      </c>
      <c r="C4" s="322">
        <f t="shared" ref="C4:C35" si="4">+VLOOKUP(A4,sabana,$C$2,FALSE)</f>
        <v>3</v>
      </c>
      <c r="D4" s="322">
        <f t="shared" ref="D4:D35" si="5">+VLOOKUP(A4,sabana,$D$2,FALSE)</f>
        <v>0</v>
      </c>
      <c r="E4" s="322">
        <f t="shared" ref="E4:E35" si="6">+VLOOKUP(A4,sabana,$E$2,FALSE)</f>
        <v>0</v>
      </c>
      <c r="F4" s="432"/>
      <c r="G4" s="432"/>
      <c r="H4" s="432"/>
      <c r="I4" s="432"/>
      <c r="J4" s="433"/>
      <c r="K4" s="433"/>
      <c r="L4" s="433"/>
      <c r="M4" s="432"/>
      <c r="N4" s="432"/>
      <c r="O4" s="414"/>
      <c r="P4" s="414"/>
      <c r="Q4" s="414"/>
      <c r="R4" s="414"/>
      <c r="S4" s="414"/>
      <c r="T4" s="414"/>
      <c r="U4" s="414"/>
      <c r="V4" s="414"/>
      <c r="W4" s="414"/>
      <c r="X4" s="414"/>
      <c r="Y4" s="414"/>
      <c r="Z4" s="414"/>
      <c r="AA4" s="414"/>
      <c r="AB4" s="414"/>
      <c r="AC4" s="415">
        <f t="shared" ref="AC4:AC35" si="7">SUM(B4:AB4)</f>
        <v>7</v>
      </c>
      <c r="AD4" s="421"/>
      <c r="AE4" s="505" t="s">
        <v>267</v>
      </c>
      <c r="AF4" s="505"/>
      <c r="AG4" s="505"/>
      <c r="AH4" s="505"/>
    </row>
    <row r="5" spans="1:36" s="321" customFormat="1" x14ac:dyDescent="0.2">
      <c r="A5" s="322" t="str">
        <f>+EST_ITM!A16</f>
        <v>Ago-Dic 1985</v>
      </c>
      <c r="B5" s="322">
        <f t="shared" si="3"/>
        <v>4</v>
      </c>
      <c r="C5" s="322">
        <f t="shared" si="4"/>
        <v>5</v>
      </c>
      <c r="D5" s="322">
        <f t="shared" si="5"/>
        <v>12</v>
      </c>
      <c r="E5" s="322">
        <f t="shared" si="6"/>
        <v>0</v>
      </c>
      <c r="F5" s="432"/>
      <c r="G5" s="432"/>
      <c r="H5" s="432"/>
      <c r="I5" s="432"/>
      <c r="J5" s="433"/>
      <c r="K5" s="433"/>
      <c r="L5" s="433"/>
      <c r="M5" s="432"/>
      <c r="N5" s="432"/>
      <c r="O5" s="414"/>
      <c r="P5" s="414"/>
      <c r="Q5" s="414"/>
      <c r="R5" s="414"/>
      <c r="S5" s="414"/>
      <c r="T5" s="414"/>
      <c r="U5" s="414"/>
      <c r="V5" s="414"/>
      <c r="W5" s="414"/>
      <c r="X5" s="414"/>
      <c r="Y5" s="414"/>
      <c r="Z5" s="414"/>
      <c r="AA5" s="414"/>
      <c r="AB5" s="414"/>
      <c r="AC5" s="415">
        <f t="shared" si="7"/>
        <v>21</v>
      </c>
      <c r="AD5" s="421"/>
      <c r="AE5" s="430" t="s">
        <v>265</v>
      </c>
      <c r="AF5" s="430" t="s">
        <v>270</v>
      </c>
      <c r="AG5" s="430" t="s">
        <v>271</v>
      </c>
      <c r="AH5" s="430" t="s">
        <v>266</v>
      </c>
    </row>
    <row r="6" spans="1:36" s="321" customFormat="1" x14ac:dyDescent="0.2">
      <c r="A6" s="322" t="str">
        <f>+EST_ITM!A17</f>
        <v>Feb-Jun 1986</v>
      </c>
      <c r="B6" s="322">
        <f t="shared" si="3"/>
        <v>7</v>
      </c>
      <c r="C6" s="322">
        <f t="shared" si="4"/>
        <v>8</v>
      </c>
      <c r="D6" s="322">
        <f t="shared" si="5"/>
        <v>7</v>
      </c>
      <c r="E6" s="322">
        <f t="shared" si="6"/>
        <v>2</v>
      </c>
      <c r="F6" s="432"/>
      <c r="G6" s="432"/>
      <c r="H6" s="432"/>
      <c r="I6" s="432"/>
      <c r="J6" s="433"/>
      <c r="K6" s="433"/>
      <c r="L6" s="433"/>
      <c r="M6" s="432"/>
      <c r="N6" s="432"/>
      <c r="O6" s="414"/>
      <c r="P6" s="414"/>
      <c r="Q6" s="414"/>
      <c r="R6" s="414"/>
      <c r="S6" s="414"/>
      <c r="T6" s="414"/>
      <c r="U6" s="414"/>
      <c r="V6" s="414"/>
      <c r="W6" s="414"/>
      <c r="X6" s="414"/>
      <c r="Y6" s="414"/>
      <c r="Z6" s="414"/>
      <c r="AA6" s="414"/>
      <c r="AB6" s="414"/>
      <c r="AC6" s="415">
        <f t="shared" si="7"/>
        <v>24</v>
      </c>
      <c r="AD6" s="421"/>
      <c r="AE6" s="429" t="s">
        <v>2</v>
      </c>
      <c r="AF6" s="435">
        <f>+B1</f>
        <v>145</v>
      </c>
      <c r="AG6" s="435"/>
      <c r="AH6" s="426">
        <f>+AF6+AG6</f>
        <v>145</v>
      </c>
    </row>
    <row r="7" spans="1:36" x14ac:dyDescent="0.2">
      <c r="A7" s="322" t="str">
        <f>+EST_ITM!A18</f>
        <v>Ago-Dic 1986</v>
      </c>
      <c r="B7" s="322">
        <f t="shared" si="3"/>
        <v>11</v>
      </c>
      <c r="C7" s="322">
        <f t="shared" si="4"/>
        <v>20</v>
      </c>
      <c r="D7" s="322">
        <f t="shared" si="5"/>
        <v>31</v>
      </c>
      <c r="E7" s="322">
        <f t="shared" si="6"/>
        <v>10</v>
      </c>
      <c r="F7" s="322">
        <f t="shared" ref="F7:F38" si="8">+VLOOKUP(A7,sabana,$F$2,FALSE)</f>
        <v>0</v>
      </c>
      <c r="G7" s="322">
        <f>+VLOOKUP(A7,sabana,G$2,FALSE)</f>
        <v>0</v>
      </c>
      <c r="H7" s="322">
        <f t="shared" ref="H7:H38" si="9">+VLOOKUP(A7,sabana,H$2,FALSE)</f>
        <v>0</v>
      </c>
      <c r="I7" s="322">
        <f t="shared" ref="I7:I38" si="10">+VLOOKUP(A7,sabana,I$2,FALSE)</f>
        <v>0</v>
      </c>
      <c r="J7" s="322">
        <f t="shared" ref="J7:J38" si="11">+VLOOKUP(A7,sabana,J$2,FALSE)</f>
        <v>0</v>
      </c>
      <c r="K7" s="322">
        <f t="shared" ref="K7:K38" si="12">+VLOOKUP(A7,sabana,K$2,FALSE)</f>
        <v>0</v>
      </c>
      <c r="L7" s="322">
        <f t="shared" ref="L7:L38" si="13">+VLOOKUP(A7,sabana,L$2,FALSE)</f>
        <v>0</v>
      </c>
      <c r="M7" s="322">
        <f t="shared" ref="M7:M38" si="14">+VLOOKUP(A7,sabana,M$2,FALSE)</f>
        <v>0</v>
      </c>
      <c r="N7" s="322">
        <f t="shared" ref="N7:N38" si="15">+VLOOKUP(A7,sabana,N$2,FALSE)</f>
        <v>0</v>
      </c>
      <c r="O7" s="322">
        <f t="shared" ref="O7:O38" si="16">+VLOOKUP(A7,sabana,O$2,FALSE)</f>
        <v>0</v>
      </c>
      <c r="P7" s="322">
        <f t="shared" ref="P7:P38" si="17">+VLOOKUP(A7,sabana,P$2,FALSE)</f>
        <v>0</v>
      </c>
      <c r="Q7" s="322">
        <f t="shared" ref="Q7:Q38" si="18">+VLOOKUP(A7,sabana,Q$2,FALSE)</f>
        <v>0</v>
      </c>
      <c r="R7" s="322">
        <f t="shared" ref="R7:R38" si="19">+VLOOKUP(A7,sabana,R$2,FALSE)</f>
        <v>0</v>
      </c>
      <c r="S7" s="322">
        <f t="shared" ref="S7:S38" si="20">+VLOOKUP(A7,sabana,S$2,FALSE)</f>
        <v>0</v>
      </c>
      <c r="T7" s="322">
        <f t="shared" ref="T7:T38" si="21">+VLOOKUP(A7,sabana,T$2,FALSE)</f>
        <v>0</v>
      </c>
      <c r="U7" s="322">
        <f t="shared" ref="U7:U38" si="22">+VLOOKUP(A7,sabana,U$2,FALSE)</f>
        <v>0</v>
      </c>
      <c r="V7" s="322">
        <f t="shared" ref="V7:V38" si="23">+VLOOKUP(A7,sabana,V$2,FALSE)</f>
        <v>0</v>
      </c>
      <c r="W7" s="322">
        <f t="shared" ref="W7:W38" si="24">+VLOOKUP(A7,sabana,W$2,FALSE)</f>
        <v>0</v>
      </c>
      <c r="X7" s="322">
        <f t="shared" ref="X7:X38" si="25">+VLOOKUP(A7,sabana,X$2,FALSE)</f>
        <v>0</v>
      </c>
      <c r="Y7" s="322">
        <f t="shared" ref="Y7:Y38" si="26">+VLOOKUP(A7,sabana,Y$2,FALSE)</f>
        <v>0</v>
      </c>
      <c r="Z7" s="322">
        <f t="shared" ref="Z7:Z38" si="27">+VLOOKUP(A7,sabana,Z$2,FALSE)</f>
        <v>0</v>
      </c>
      <c r="AA7" s="322">
        <f t="shared" ref="AA7:AA38" si="28">+VLOOKUP(A7,sabana,AA$2,FALSE)</f>
        <v>0</v>
      </c>
      <c r="AB7" s="322">
        <f t="shared" ref="AB7:AB38" si="29">+VLOOKUP(A7,sabana,AB$2,FALSE)</f>
        <v>0</v>
      </c>
      <c r="AC7" s="415">
        <f t="shared" si="7"/>
        <v>72</v>
      </c>
      <c r="AD7" s="421"/>
      <c r="AE7" s="429" t="s">
        <v>3</v>
      </c>
      <c r="AF7" s="435">
        <f>+C1</f>
        <v>221</v>
      </c>
      <c r="AG7" s="435"/>
      <c r="AH7" s="426">
        <f t="shared" ref="AH7:AH22" si="30">+AF7+AG7</f>
        <v>221</v>
      </c>
    </row>
    <row r="8" spans="1:36" x14ac:dyDescent="0.2">
      <c r="A8" s="322" t="str">
        <f>+EST_ITM!A19</f>
        <v>Feb-Jun 1987</v>
      </c>
      <c r="B8" s="322">
        <f t="shared" si="3"/>
        <v>26</v>
      </c>
      <c r="C8" s="322">
        <f t="shared" si="4"/>
        <v>27</v>
      </c>
      <c r="D8" s="322">
        <f t="shared" si="5"/>
        <v>17</v>
      </c>
      <c r="E8" s="322">
        <f t="shared" si="6"/>
        <v>18</v>
      </c>
      <c r="F8" s="322">
        <f t="shared" si="8"/>
        <v>0</v>
      </c>
      <c r="G8" s="322">
        <f t="shared" ref="G8:G39" si="31">+VLOOKUP(A8,sabana,$G$2,FALSE)</f>
        <v>0</v>
      </c>
      <c r="H8" s="322">
        <f t="shared" si="9"/>
        <v>0</v>
      </c>
      <c r="I8" s="322">
        <f t="shared" si="10"/>
        <v>0</v>
      </c>
      <c r="J8" s="322">
        <f t="shared" si="11"/>
        <v>0</v>
      </c>
      <c r="K8" s="322">
        <f t="shared" si="12"/>
        <v>0</v>
      </c>
      <c r="L8" s="322">
        <f t="shared" si="13"/>
        <v>0</v>
      </c>
      <c r="M8" s="322">
        <f t="shared" si="14"/>
        <v>0</v>
      </c>
      <c r="N8" s="322">
        <f t="shared" si="15"/>
        <v>0</v>
      </c>
      <c r="O8" s="322">
        <f t="shared" si="16"/>
        <v>0</v>
      </c>
      <c r="P8" s="322">
        <f t="shared" si="17"/>
        <v>0</v>
      </c>
      <c r="Q8" s="322">
        <f t="shared" si="18"/>
        <v>0</v>
      </c>
      <c r="R8" s="322">
        <f t="shared" si="19"/>
        <v>0</v>
      </c>
      <c r="S8" s="322">
        <f t="shared" si="20"/>
        <v>0</v>
      </c>
      <c r="T8" s="322">
        <f t="shared" si="21"/>
        <v>0</v>
      </c>
      <c r="U8" s="322">
        <f t="shared" si="22"/>
        <v>0</v>
      </c>
      <c r="V8" s="322">
        <f t="shared" si="23"/>
        <v>0</v>
      </c>
      <c r="W8" s="322">
        <f t="shared" si="24"/>
        <v>0</v>
      </c>
      <c r="X8" s="322">
        <f t="shared" si="25"/>
        <v>0</v>
      </c>
      <c r="Y8" s="322">
        <f t="shared" si="26"/>
        <v>0</v>
      </c>
      <c r="Z8" s="322">
        <f t="shared" si="27"/>
        <v>0</v>
      </c>
      <c r="AA8" s="322">
        <f t="shared" si="28"/>
        <v>0</v>
      </c>
      <c r="AB8" s="322">
        <f t="shared" si="29"/>
        <v>0</v>
      </c>
      <c r="AC8" s="415">
        <f t="shared" si="7"/>
        <v>88</v>
      </c>
      <c r="AD8" s="421"/>
      <c r="AE8" s="429" t="s">
        <v>263</v>
      </c>
      <c r="AF8" s="435">
        <f>+D1</f>
        <v>128</v>
      </c>
      <c r="AG8" s="435"/>
      <c r="AH8" s="426">
        <f t="shared" si="30"/>
        <v>128</v>
      </c>
    </row>
    <row r="9" spans="1:36" x14ac:dyDescent="0.2">
      <c r="A9" s="322" t="str">
        <f>+EST_ITM!A20</f>
        <v>Ago-Dic 1987</v>
      </c>
      <c r="B9" s="322">
        <f t="shared" si="3"/>
        <v>11</v>
      </c>
      <c r="C9" s="322">
        <f t="shared" si="4"/>
        <v>30</v>
      </c>
      <c r="D9" s="322">
        <f t="shared" si="5"/>
        <v>18</v>
      </c>
      <c r="E9" s="322">
        <f t="shared" si="6"/>
        <v>9</v>
      </c>
      <c r="F9" s="322">
        <f t="shared" si="8"/>
        <v>0</v>
      </c>
      <c r="G9" s="322">
        <f t="shared" si="31"/>
        <v>0</v>
      </c>
      <c r="H9" s="322">
        <f t="shared" si="9"/>
        <v>0</v>
      </c>
      <c r="I9" s="322">
        <f t="shared" si="10"/>
        <v>0</v>
      </c>
      <c r="J9" s="322">
        <f t="shared" si="11"/>
        <v>0</v>
      </c>
      <c r="K9" s="322">
        <f t="shared" si="12"/>
        <v>0</v>
      </c>
      <c r="L9" s="322">
        <f t="shared" si="13"/>
        <v>0</v>
      </c>
      <c r="M9" s="322">
        <f t="shared" si="14"/>
        <v>0</v>
      </c>
      <c r="N9" s="322">
        <f t="shared" si="15"/>
        <v>0</v>
      </c>
      <c r="O9" s="322">
        <f t="shared" si="16"/>
        <v>0</v>
      </c>
      <c r="P9" s="322">
        <f t="shared" si="17"/>
        <v>0</v>
      </c>
      <c r="Q9" s="322">
        <f t="shared" si="18"/>
        <v>0</v>
      </c>
      <c r="R9" s="322">
        <f t="shared" si="19"/>
        <v>0</v>
      </c>
      <c r="S9" s="322">
        <f t="shared" si="20"/>
        <v>0</v>
      </c>
      <c r="T9" s="322">
        <f t="shared" si="21"/>
        <v>0</v>
      </c>
      <c r="U9" s="322">
        <f t="shared" si="22"/>
        <v>0</v>
      </c>
      <c r="V9" s="322">
        <f t="shared" si="23"/>
        <v>0</v>
      </c>
      <c r="W9" s="322">
        <f t="shared" si="24"/>
        <v>0</v>
      </c>
      <c r="X9" s="322">
        <f t="shared" si="25"/>
        <v>0</v>
      </c>
      <c r="Y9" s="322">
        <f t="shared" si="26"/>
        <v>0</v>
      </c>
      <c r="Z9" s="322">
        <f t="shared" si="27"/>
        <v>0</v>
      </c>
      <c r="AA9" s="322">
        <f t="shared" si="28"/>
        <v>0</v>
      </c>
      <c r="AB9" s="322">
        <f t="shared" si="29"/>
        <v>0</v>
      </c>
      <c r="AC9" s="415">
        <f t="shared" si="7"/>
        <v>68</v>
      </c>
      <c r="AD9" s="421"/>
      <c r="AE9" s="429" t="s">
        <v>5</v>
      </c>
      <c r="AF9" s="435">
        <f>+E1</f>
        <v>43</v>
      </c>
      <c r="AG9" s="435"/>
      <c r="AH9" s="426">
        <f t="shared" si="30"/>
        <v>43</v>
      </c>
    </row>
    <row r="10" spans="1:36" x14ac:dyDescent="0.2">
      <c r="A10" s="322" t="str">
        <f>+EST_ITM!A21</f>
        <v>Feb-Jun 1988</v>
      </c>
      <c r="B10" s="322">
        <f t="shared" si="3"/>
        <v>17</v>
      </c>
      <c r="C10" s="322">
        <f t="shared" si="4"/>
        <v>20</v>
      </c>
      <c r="D10" s="322">
        <f t="shared" si="5"/>
        <v>5</v>
      </c>
      <c r="E10" s="322">
        <f t="shared" si="6"/>
        <v>3</v>
      </c>
      <c r="F10" s="322">
        <f t="shared" si="8"/>
        <v>0</v>
      </c>
      <c r="G10" s="322">
        <f t="shared" si="31"/>
        <v>0</v>
      </c>
      <c r="H10" s="322">
        <f t="shared" si="9"/>
        <v>0</v>
      </c>
      <c r="I10" s="322">
        <f t="shared" si="10"/>
        <v>0</v>
      </c>
      <c r="J10" s="322">
        <f t="shared" si="11"/>
        <v>0</v>
      </c>
      <c r="K10" s="322">
        <f t="shared" si="12"/>
        <v>0</v>
      </c>
      <c r="L10" s="322">
        <f t="shared" si="13"/>
        <v>0</v>
      </c>
      <c r="M10" s="322">
        <f t="shared" si="14"/>
        <v>0</v>
      </c>
      <c r="N10" s="322">
        <f t="shared" si="15"/>
        <v>0</v>
      </c>
      <c r="O10" s="322">
        <f t="shared" si="16"/>
        <v>0</v>
      </c>
      <c r="P10" s="322">
        <f t="shared" si="17"/>
        <v>0</v>
      </c>
      <c r="Q10" s="322">
        <f t="shared" si="18"/>
        <v>0</v>
      </c>
      <c r="R10" s="322">
        <f t="shared" si="19"/>
        <v>0</v>
      </c>
      <c r="S10" s="322">
        <f t="shared" si="20"/>
        <v>0</v>
      </c>
      <c r="T10" s="322">
        <f t="shared" si="21"/>
        <v>0</v>
      </c>
      <c r="U10" s="322">
        <f t="shared" si="22"/>
        <v>0</v>
      </c>
      <c r="V10" s="322">
        <f t="shared" si="23"/>
        <v>0</v>
      </c>
      <c r="W10" s="322">
        <f t="shared" si="24"/>
        <v>0</v>
      </c>
      <c r="X10" s="322">
        <f t="shared" si="25"/>
        <v>0</v>
      </c>
      <c r="Y10" s="322">
        <f t="shared" si="26"/>
        <v>0</v>
      </c>
      <c r="Z10" s="322">
        <f t="shared" si="27"/>
        <v>0</v>
      </c>
      <c r="AA10" s="322">
        <f t="shared" si="28"/>
        <v>0</v>
      </c>
      <c r="AB10" s="322">
        <f t="shared" si="29"/>
        <v>0</v>
      </c>
      <c r="AC10" s="415">
        <f t="shared" si="7"/>
        <v>45</v>
      </c>
      <c r="AD10" s="421"/>
      <c r="AE10" s="429" t="s">
        <v>207</v>
      </c>
      <c r="AF10" s="435">
        <f>+F1</f>
        <v>733</v>
      </c>
      <c r="AG10" s="435">
        <f>+S1</f>
        <v>63</v>
      </c>
      <c r="AH10" s="426">
        <f t="shared" si="30"/>
        <v>796</v>
      </c>
    </row>
    <row r="11" spans="1:36" x14ac:dyDescent="0.2">
      <c r="A11" s="322" t="str">
        <f>+EST_ITM!A22</f>
        <v>Ago-Dic 1988</v>
      </c>
      <c r="B11" s="322">
        <f t="shared" si="3"/>
        <v>15</v>
      </c>
      <c r="C11" s="322">
        <f t="shared" si="4"/>
        <v>26</v>
      </c>
      <c r="D11" s="322">
        <f t="shared" si="5"/>
        <v>2</v>
      </c>
      <c r="E11" s="322">
        <f t="shared" si="6"/>
        <v>0</v>
      </c>
      <c r="F11" s="322">
        <f t="shared" si="8"/>
        <v>0</v>
      </c>
      <c r="G11" s="322">
        <f t="shared" si="31"/>
        <v>0</v>
      </c>
      <c r="H11" s="322">
        <f t="shared" si="9"/>
        <v>0</v>
      </c>
      <c r="I11" s="322">
        <f t="shared" si="10"/>
        <v>0</v>
      </c>
      <c r="J11" s="322">
        <f t="shared" si="11"/>
        <v>0</v>
      </c>
      <c r="K11" s="322">
        <f t="shared" si="12"/>
        <v>0</v>
      </c>
      <c r="L11" s="322">
        <f t="shared" si="13"/>
        <v>0</v>
      </c>
      <c r="M11" s="322">
        <f t="shared" si="14"/>
        <v>0</v>
      </c>
      <c r="N11" s="322">
        <f t="shared" si="15"/>
        <v>0</v>
      </c>
      <c r="O11" s="322">
        <f t="shared" si="16"/>
        <v>0</v>
      </c>
      <c r="P11" s="322">
        <f t="shared" si="17"/>
        <v>0</v>
      </c>
      <c r="Q11" s="322">
        <f t="shared" si="18"/>
        <v>0</v>
      </c>
      <c r="R11" s="322">
        <f t="shared" si="19"/>
        <v>0</v>
      </c>
      <c r="S11" s="322">
        <f t="shared" si="20"/>
        <v>0</v>
      </c>
      <c r="T11" s="322">
        <f t="shared" si="21"/>
        <v>0</v>
      </c>
      <c r="U11" s="322">
        <f t="shared" si="22"/>
        <v>0</v>
      </c>
      <c r="V11" s="322">
        <f t="shared" si="23"/>
        <v>0</v>
      </c>
      <c r="W11" s="322">
        <f t="shared" si="24"/>
        <v>0</v>
      </c>
      <c r="X11" s="322">
        <f t="shared" si="25"/>
        <v>0</v>
      </c>
      <c r="Y11" s="322">
        <f t="shared" si="26"/>
        <v>0</v>
      </c>
      <c r="Z11" s="322">
        <f t="shared" si="27"/>
        <v>0</v>
      </c>
      <c r="AA11" s="322">
        <f t="shared" si="28"/>
        <v>0</v>
      </c>
      <c r="AB11" s="322">
        <f t="shared" si="29"/>
        <v>0</v>
      </c>
      <c r="AC11" s="415">
        <f t="shared" si="7"/>
        <v>43</v>
      </c>
      <c r="AD11" s="421"/>
      <c r="AE11" s="429" t="s">
        <v>206</v>
      </c>
      <c r="AF11" s="435">
        <f>+G$1</f>
        <v>365</v>
      </c>
      <c r="AG11" s="435">
        <f>+R1</f>
        <v>101</v>
      </c>
      <c r="AH11" s="426">
        <f t="shared" si="30"/>
        <v>466</v>
      </c>
      <c r="AJ11" s="321"/>
    </row>
    <row r="12" spans="1:36" x14ac:dyDescent="0.2">
      <c r="A12" s="322" t="str">
        <f>+EST_ITM!A23</f>
        <v>Feb-Jun 1989</v>
      </c>
      <c r="B12" s="322">
        <f t="shared" si="3"/>
        <v>6</v>
      </c>
      <c r="C12" s="322">
        <f t="shared" si="4"/>
        <v>30</v>
      </c>
      <c r="D12" s="322">
        <f t="shared" si="5"/>
        <v>7</v>
      </c>
      <c r="E12" s="322">
        <f t="shared" si="6"/>
        <v>0</v>
      </c>
      <c r="F12" s="322">
        <f t="shared" si="8"/>
        <v>0</v>
      </c>
      <c r="G12" s="322">
        <f t="shared" si="31"/>
        <v>0</v>
      </c>
      <c r="H12" s="322">
        <f t="shared" si="9"/>
        <v>0</v>
      </c>
      <c r="I12" s="322">
        <f t="shared" si="10"/>
        <v>0</v>
      </c>
      <c r="J12" s="322">
        <f t="shared" si="11"/>
        <v>0</v>
      </c>
      <c r="K12" s="322">
        <f t="shared" si="12"/>
        <v>0</v>
      </c>
      <c r="L12" s="322">
        <f t="shared" si="13"/>
        <v>0</v>
      </c>
      <c r="M12" s="322">
        <f t="shared" si="14"/>
        <v>0</v>
      </c>
      <c r="N12" s="322">
        <f t="shared" si="15"/>
        <v>0</v>
      </c>
      <c r="O12" s="322">
        <f t="shared" si="16"/>
        <v>0</v>
      </c>
      <c r="P12" s="322">
        <f t="shared" si="17"/>
        <v>0</v>
      </c>
      <c r="Q12" s="322">
        <f t="shared" si="18"/>
        <v>0</v>
      </c>
      <c r="R12" s="322">
        <f t="shared" si="19"/>
        <v>0</v>
      </c>
      <c r="S12" s="322">
        <f t="shared" si="20"/>
        <v>0</v>
      </c>
      <c r="T12" s="322">
        <f t="shared" si="21"/>
        <v>0</v>
      </c>
      <c r="U12" s="322">
        <f t="shared" si="22"/>
        <v>0</v>
      </c>
      <c r="V12" s="322">
        <f t="shared" si="23"/>
        <v>0</v>
      </c>
      <c r="W12" s="322">
        <f t="shared" si="24"/>
        <v>0</v>
      </c>
      <c r="X12" s="322">
        <f t="shared" si="25"/>
        <v>0</v>
      </c>
      <c r="Y12" s="322">
        <f t="shared" si="26"/>
        <v>0</v>
      </c>
      <c r="Z12" s="322">
        <f t="shared" si="27"/>
        <v>0</v>
      </c>
      <c r="AA12" s="322">
        <f t="shared" si="28"/>
        <v>0</v>
      </c>
      <c r="AB12" s="322">
        <f t="shared" si="29"/>
        <v>0</v>
      </c>
      <c r="AC12" s="415">
        <f t="shared" si="7"/>
        <v>43</v>
      </c>
      <c r="AD12" s="421"/>
      <c r="AE12" s="429" t="s">
        <v>112</v>
      </c>
      <c r="AF12" s="435">
        <f>+H$1</f>
        <v>2019</v>
      </c>
      <c r="AG12" s="435">
        <f>+V1</f>
        <v>431</v>
      </c>
      <c r="AH12" s="426">
        <f t="shared" si="30"/>
        <v>2450</v>
      </c>
    </row>
    <row r="13" spans="1:36" x14ac:dyDescent="0.2">
      <c r="A13" s="322" t="str">
        <f>+EST_ITM!A24</f>
        <v>Ago-Dic 1989</v>
      </c>
      <c r="B13" s="322">
        <f t="shared" si="3"/>
        <v>12</v>
      </c>
      <c r="C13" s="322">
        <f t="shared" si="4"/>
        <v>19</v>
      </c>
      <c r="D13" s="322">
        <f t="shared" si="5"/>
        <v>5</v>
      </c>
      <c r="E13" s="322">
        <f t="shared" si="6"/>
        <v>1</v>
      </c>
      <c r="F13" s="322">
        <f t="shared" si="8"/>
        <v>0</v>
      </c>
      <c r="G13" s="322">
        <f t="shared" si="31"/>
        <v>0</v>
      </c>
      <c r="H13" s="322">
        <f t="shared" si="9"/>
        <v>0</v>
      </c>
      <c r="I13" s="322">
        <f t="shared" si="10"/>
        <v>0</v>
      </c>
      <c r="J13" s="322">
        <f t="shared" si="11"/>
        <v>0</v>
      </c>
      <c r="K13" s="322">
        <f t="shared" si="12"/>
        <v>0</v>
      </c>
      <c r="L13" s="322">
        <f t="shared" si="13"/>
        <v>0</v>
      </c>
      <c r="M13" s="322">
        <f t="shared" si="14"/>
        <v>0</v>
      </c>
      <c r="N13" s="322">
        <f t="shared" si="15"/>
        <v>0</v>
      </c>
      <c r="O13" s="322">
        <f t="shared" si="16"/>
        <v>0</v>
      </c>
      <c r="P13" s="322">
        <f t="shared" si="17"/>
        <v>0</v>
      </c>
      <c r="Q13" s="322">
        <f t="shared" si="18"/>
        <v>0</v>
      </c>
      <c r="R13" s="322">
        <f t="shared" si="19"/>
        <v>0</v>
      </c>
      <c r="S13" s="322">
        <f t="shared" si="20"/>
        <v>0</v>
      </c>
      <c r="T13" s="322">
        <f t="shared" si="21"/>
        <v>0</v>
      </c>
      <c r="U13" s="322">
        <f t="shared" si="22"/>
        <v>0</v>
      </c>
      <c r="V13" s="322">
        <f t="shared" si="23"/>
        <v>0</v>
      </c>
      <c r="W13" s="322">
        <f t="shared" si="24"/>
        <v>0</v>
      </c>
      <c r="X13" s="322">
        <f t="shared" si="25"/>
        <v>0</v>
      </c>
      <c r="Y13" s="322">
        <f t="shared" si="26"/>
        <v>0</v>
      </c>
      <c r="Z13" s="322">
        <f t="shared" si="27"/>
        <v>0</v>
      </c>
      <c r="AA13" s="322">
        <f t="shared" si="28"/>
        <v>0</v>
      </c>
      <c r="AB13" s="322">
        <f t="shared" si="29"/>
        <v>0</v>
      </c>
      <c r="AC13" s="415">
        <f t="shared" si="7"/>
        <v>37</v>
      </c>
      <c r="AD13" s="421"/>
      <c r="AE13" s="429" t="s">
        <v>205</v>
      </c>
      <c r="AF13" s="435">
        <f>+I1</f>
        <v>769</v>
      </c>
      <c r="AG13" s="435">
        <f>+X1</f>
        <v>146</v>
      </c>
      <c r="AH13" s="426">
        <f t="shared" si="30"/>
        <v>915</v>
      </c>
    </row>
    <row r="14" spans="1:36" x14ac:dyDescent="0.2">
      <c r="A14" s="322" t="str">
        <f>+EST_ITM!A25</f>
        <v>Feb-Jun 1990</v>
      </c>
      <c r="B14" s="322">
        <f t="shared" si="3"/>
        <v>14</v>
      </c>
      <c r="C14" s="322">
        <f t="shared" si="4"/>
        <v>17</v>
      </c>
      <c r="D14" s="322">
        <f t="shared" si="5"/>
        <v>3</v>
      </c>
      <c r="E14" s="322">
        <f t="shared" si="6"/>
        <v>0</v>
      </c>
      <c r="F14" s="322">
        <f t="shared" si="8"/>
        <v>0</v>
      </c>
      <c r="G14" s="322">
        <f t="shared" si="31"/>
        <v>0</v>
      </c>
      <c r="H14" s="322">
        <f t="shared" si="9"/>
        <v>0</v>
      </c>
      <c r="I14" s="322">
        <f t="shared" si="10"/>
        <v>0</v>
      </c>
      <c r="J14" s="322">
        <f t="shared" si="11"/>
        <v>0</v>
      </c>
      <c r="K14" s="322">
        <f t="shared" si="12"/>
        <v>0</v>
      </c>
      <c r="L14" s="322">
        <f t="shared" si="13"/>
        <v>0</v>
      </c>
      <c r="M14" s="322">
        <f t="shared" si="14"/>
        <v>0</v>
      </c>
      <c r="N14" s="322">
        <f t="shared" si="15"/>
        <v>0</v>
      </c>
      <c r="O14" s="322">
        <f t="shared" si="16"/>
        <v>0</v>
      </c>
      <c r="P14" s="322">
        <f t="shared" si="17"/>
        <v>0</v>
      </c>
      <c r="Q14" s="322">
        <f t="shared" si="18"/>
        <v>0</v>
      </c>
      <c r="R14" s="322">
        <f t="shared" si="19"/>
        <v>0</v>
      </c>
      <c r="S14" s="322">
        <f t="shared" si="20"/>
        <v>0</v>
      </c>
      <c r="T14" s="322">
        <f t="shared" si="21"/>
        <v>0</v>
      </c>
      <c r="U14" s="322">
        <f t="shared" si="22"/>
        <v>0</v>
      </c>
      <c r="V14" s="322">
        <f t="shared" si="23"/>
        <v>0</v>
      </c>
      <c r="W14" s="322">
        <f t="shared" si="24"/>
        <v>0</v>
      </c>
      <c r="X14" s="322">
        <f t="shared" si="25"/>
        <v>0</v>
      </c>
      <c r="Y14" s="322">
        <f t="shared" si="26"/>
        <v>0</v>
      </c>
      <c r="Z14" s="322">
        <f t="shared" si="27"/>
        <v>0</v>
      </c>
      <c r="AA14" s="322">
        <f t="shared" si="28"/>
        <v>0</v>
      </c>
      <c r="AB14" s="322">
        <f t="shared" si="29"/>
        <v>0</v>
      </c>
      <c r="AC14" s="415">
        <f t="shared" si="7"/>
        <v>34</v>
      </c>
      <c r="AD14" s="421"/>
      <c r="AE14" s="429" t="s">
        <v>257</v>
      </c>
      <c r="AF14" s="435">
        <f>+J1</f>
        <v>776</v>
      </c>
      <c r="AG14" s="435">
        <f>+W1</f>
        <v>29</v>
      </c>
      <c r="AH14" s="426">
        <f t="shared" si="30"/>
        <v>805</v>
      </c>
    </row>
    <row r="15" spans="1:36" x14ac:dyDescent="0.2">
      <c r="A15" s="322" t="str">
        <f>+EST_ITM!A26</f>
        <v>Ago-Dic 1990</v>
      </c>
      <c r="B15" s="322">
        <f t="shared" si="3"/>
        <v>13</v>
      </c>
      <c r="C15" s="322">
        <f t="shared" si="4"/>
        <v>6</v>
      </c>
      <c r="D15" s="322">
        <f t="shared" si="5"/>
        <v>9</v>
      </c>
      <c r="E15" s="322">
        <f t="shared" si="6"/>
        <v>0</v>
      </c>
      <c r="F15" s="322">
        <f t="shared" si="8"/>
        <v>0</v>
      </c>
      <c r="G15" s="322">
        <f t="shared" si="31"/>
        <v>0</v>
      </c>
      <c r="H15" s="322">
        <f t="shared" si="9"/>
        <v>0</v>
      </c>
      <c r="I15" s="322">
        <f t="shared" si="10"/>
        <v>0</v>
      </c>
      <c r="J15" s="322">
        <f t="shared" si="11"/>
        <v>0</v>
      </c>
      <c r="K15" s="322">
        <f t="shared" si="12"/>
        <v>0</v>
      </c>
      <c r="L15" s="322">
        <f t="shared" si="13"/>
        <v>0</v>
      </c>
      <c r="M15" s="322">
        <f t="shared" si="14"/>
        <v>0</v>
      </c>
      <c r="N15" s="322">
        <f t="shared" si="15"/>
        <v>0</v>
      </c>
      <c r="O15" s="322">
        <f t="shared" si="16"/>
        <v>0</v>
      </c>
      <c r="P15" s="322">
        <f t="shared" si="17"/>
        <v>0</v>
      </c>
      <c r="Q15" s="322">
        <f t="shared" si="18"/>
        <v>0</v>
      </c>
      <c r="R15" s="322">
        <f t="shared" si="19"/>
        <v>0</v>
      </c>
      <c r="S15" s="322">
        <f t="shared" si="20"/>
        <v>0</v>
      </c>
      <c r="T15" s="322">
        <f t="shared" si="21"/>
        <v>0</v>
      </c>
      <c r="U15" s="322">
        <f t="shared" si="22"/>
        <v>0</v>
      </c>
      <c r="V15" s="322">
        <f t="shared" si="23"/>
        <v>0</v>
      </c>
      <c r="W15" s="322">
        <f t="shared" si="24"/>
        <v>0</v>
      </c>
      <c r="X15" s="322">
        <f t="shared" si="25"/>
        <v>0</v>
      </c>
      <c r="Y15" s="322">
        <f t="shared" si="26"/>
        <v>0</v>
      </c>
      <c r="Z15" s="322">
        <f t="shared" si="27"/>
        <v>0</v>
      </c>
      <c r="AA15" s="322">
        <f t="shared" si="28"/>
        <v>0</v>
      </c>
      <c r="AB15" s="322">
        <f t="shared" si="29"/>
        <v>0</v>
      </c>
      <c r="AC15" s="415">
        <f t="shared" si="7"/>
        <v>28</v>
      </c>
      <c r="AD15" s="421"/>
      <c r="AE15" s="429" t="s">
        <v>258</v>
      </c>
      <c r="AF15" s="435">
        <f>+K1</f>
        <v>985</v>
      </c>
      <c r="AG15" s="435"/>
      <c r="AH15" s="426">
        <f t="shared" si="30"/>
        <v>985</v>
      </c>
    </row>
    <row r="16" spans="1:36" x14ac:dyDescent="0.2">
      <c r="A16" s="322" t="str">
        <f>+EST_ITM!A27</f>
        <v>Feb-Jun 1991</v>
      </c>
      <c r="B16" s="322">
        <f t="shared" si="3"/>
        <v>3</v>
      </c>
      <c r="C16" s="322">
        <f t="shared" si="4"/>
        <v>4</v>
      </c>
      <c r="D16" s="322">
        <f t="shared" si="5"/>
        <v>11</v>
      </c>
      <c r="E16" s="322">
        <f t="shared" si="6"/>
        <v>0</v>
      </c>
      <c r="F16" s="322">
        <f t="shared" si="8"/>
        <v>12</v>
      </c>
      <c r="G16" s="322">
        <f t="shared" si="31"/>
        <v>0</v>
      </c>
      <c r="H16" s="322">
        <f t="shared" si="9"/>
        <v>1</v>
      </c>
      <c r="I16" s="322">
        <f t="shared" si="10"/>
        <v>0</v>
      </c>
      <c r="J16" s="322">
        <f t="shared" si="11"/>
        <v>1</v>
      </c>
      <c r="K16" s="322">
        <f t="shared" si="12"/>
        <v>0</v>
      </c>
      <c r="L16" s="322">
        <f t="shared" si="13"/>
        <v>0</v>
      </c>
      <c r="M16" s="322">
        <f t="shared" si="14"/>
        <v>0</v>
      </c>
      <c r="N16" s="322">
        <f t="shared" si="15"/>
        <v>0</v>
      </c>
      <c r="O16" s="322">
        <f t="shared" si="16"/>
        <v>0</v>
      </c>
      <c r="P16" s="322">
        <f t="shared" si="17"/>
        <v>0</v>
      </c>
      <c r="Q16" s="322">
        <f t="shared" si="18"/>
        <v>0</v>
      </c>
      <c r="R16" s="322">
        <f t="shared" si="19"/>
        <v>0</v>
      </c>
      <c r="S16" s="322">
        <f t="shared" si="20"/>
        <v>0</v>
      </c>
      <c r="T16" s="322">
        <f t="shared" si="21"/>
        <v>0</v>
      </c>
      <c r="U16" s="322">
        <f t="shared" si="22"/>
        <v>0</v>
      </c>
      <c r="V16" s="322">
        <f t="shared" si="23"/>
        <v>0</v>
      </c>
      <c r="W16" s="322">
        <f t="shared" si="24"/>
        <v>0</v>
      </c>
      <c r="X16" s="322">
        <f t="shared" si="25"/>
        <v>0</v>
      </c>
      <c r="Y16" s="322">
        <f t="shared" si="26"/>
        <v>0</v>
      </c>
      <c r="Z16" s="322">
        <f t="shared" si="27"/>
        <v>0</v>
      </c>
      <c r="AA16" s="322">
        <f t="shared" si="28"/>
        <v>0</v>
      </c>
      <c r="AB16" s="322">
        <f t="shared" si="29"/>
        <v>0</v>
      </c>
      <c r="AC16" s="415">
        <f t="shared" si="7"/>
        <v>32</v>
      </c>
      <c r="AD16" s="421"/>
      <c r="AE16" s="429" t="s">
        <v>195</v>
      </c>
      <c r="AF16" s="435">
        <f>+L1</f>
        <v>611</v>
      </c>
      <c r="AG16" s="435">
        <f>+U1</f>
        <v>169</v>
      </c>
      <c r="AH16" s="426">
        <f t="shared" si="30"/>
        <v>780</v>
      </c>
    </row>
    <row r="17" spans="1:34" x14ac:dyDescent="0.2">
      <c r="A17" s="322" t="str">
        <f>+EST_ITM!A28</f>
        <v>Ago-Dic 1991</v>
      </c>
      <c r="B17" s="322">
        <f t="shared" si="3"/>
        <v>2</v>
      </c>
      <c r="C17" s="322">
        <f t="shared" si="4"/>
        <v>3</v>
      </c>
      <c r="D17" s="322">
        <f t="shared" si="5"/>
        <v>0</v>
      </c>
      <c r="E17" s="322">
        <f t="shared" si="6"/>
        <v>0</v>
      </c>
      <c r="F17" s="322">
        <f t="shared" si="8"/>
        <v>19</v>
      </c>
      <c r="G17" s="322">
        <f t="shared" si="31"/>
        <v>1</v>
      </c>
      <c r="H17" s="322">
        <f t="shared" si="9"/>
        <v>6</v>
      </c>
      <c r="I17" s="322">
        <f t="shared" si="10"/>
        <v>13</v>
      </c>
      <c r="J17" s="322">
        <f t="shared" si="11"/>
        <v>20</v>
      </c>
      <c r="K17" s="322">
        <f t="shared" si="12"/>
        <v>0</v>
      </c>
      <c r="L17" s="322">
        <f t="shared" si="13"/>
        <v>0</v>
      </c>
      <c r="M17" s="322">
        <f t="shared" si="14"/>
        <v>0</v>
      </c>
      <c r="N17" s="322">
        <f t="shared" si="15"/>
        <v>0</v>
      </c>
      <c r="O17" s="322">
        <f t="shared" si="16"/>
        <v>0</v>
      </c>
      <c r="P17" s="322">
        <f t="shared" si="17"/>
        <v>0</v>
      </c>
      <c r="Q17" s="322">
        <f t="shared" si="18"/>
        <v>0</v>
      </c>
      <c r="R17" s="322">
        <f t="shared" si="19"/>
        <v>0</v>
      </c>
      <c r="S17" s="322">
        <f t="shared" si="20"/>
        <v>0</v>
      </c>
      <c r="T17" s="322">
        <f t="shared" si="21"/>
        <v>0</v>
      </c>
      <c r="U17" s="322">
        <f t="shared" si="22"/>
        <v>0</v>
      </c>
      <c r="V17" s="322">
        <f t="shared" si="23"/>
        <v>0</v>
      </c>
      <c r="W17" s="322">
        <f t="shared" si="24"/>
        <v>0</v>
      </c>
      <c r="X17" s="322">
        <f t="shared" si="25"/>
        <v>0</v>
      </c>
      <c r="Y17" s="322">
        <f t="shared" si="26"/>
        <v>0</v>
      </c>
      <c r="Z17" s="322">
        <f t="shared" si="27"/>
        <v>0</v>
      </c>
      <c r="AA17" s="322">
        <f t="shared" si="28"/>
        <v>0</v>
      </c>
      <c r="AB17" s="322">
        <f t="shared" si="29"/>
        <v>0</v>
      </c>
      <c r="AC17" s="415">
        <f t="shared" si="7"/>
        <v>64</v>
      </c>
      <c r="AD17" s="421"/>
      <c r="AE17" s="429" t="s">
        <v>204</v>
      </c>
      <c r="AF17" s="435">
        <f>+M1</f>
        <v>490</v>
      </c>
      <c r="AG17" s="435">
        <f>+Z1</f>
        <v>130</v>
      </c>
      <c r="AH17" s="426">
        <f t="shared" si="30"/>
        <v>620</v>
      </c>
    </row>
    <row r="18" spans="1:34" x14ac:dyDescent="0.2">
      <c r="A18" s="322" t="str">
        <f>+EST_ITM!A29</f>
        <v>Feb-Jun 1992</v>
      </c>
      <c r="B18" s="322">
        <f t="shared" si="3"/>
        <v>0</v>
      </c>
      <c r="C18" s="322">
        <f t="shared" si="4"/>
        <v>3</v>
      </c>
      <c r="D18" s="322">
        <f t="shared" si="5"/>
        <v>1</v>
      </c>
      <c r="E18" s="322">
        <f t="shared" si="6"/>
        <v>0</v>
      </c>
      <c r="F18" s="322">
        <f t="shared" si="8"/>
        <v>17</v>
      </c>
      <c r="G18" s="322">
        <f t="shared" si="31"/>
        <v>8</v>
      </c>
      <c r="H18" s="322">
        <f t="shared" si="9"/>
        <v>8</v>
      </c>
      <c r="I18" s="322">
        <f t="shared" si="10"/>
        <v>6</v>
      </c>
      <c r="J18" s="322">
        <f t="shared" si="11"/>
        <v>20</v>
      </c>
      <c r="K18" s="322">
        <f t="shared" si="12"/>
        <v>0</v>
      </c>
      <c r="L18" s="322">
        <f t="shared" si="13"/>
        <v>0</v>
      </c>
      <c r="M18" s="322">
        <f t="shared" si="14"/>
        <v>0</v>
      </c>
      <c r="N18" s="322">
        <f t="shared" si="15"/>
        <v>0</v>
      </c>
      <c r="O18" s="322">
        <f t="shared" si="16"/>
        <v>0</v>
      </c>
      <c r="P18" s="322">
        <f t="shared" si="17"/>
        <v>0</v>
      </c>
      <c r="Q18" s="322">
        <f t="shared" si="18"/>
        <v>0</v>
      </c>
      <c r="R18" s="322">
        <f t="shared" si="19"/>
        <v>0</v>
      </c>
      <c r="S18" s="322">
        <f t="shared" si="20"/>
        <v>0</v>
      </c>
      <c r="T18" s="322">
        <f t="shared" si="21"/>
        <v>0</v>
      </c>
      <c r="U18" s="322">
        <f t="shared" si="22"/>
        <v>0</v>
      </c>
      <c r="V18" s="322">
        <f t="shared" si="23"/>
        <v>0</v>
      </c>
      <c r="W18" s="322">
        <f t="shared" si="24"/>
        <v>0</v>
      </c>
      <c r="X18" s="322">
        <f t="shared" si="25"/>
        <v>0</v>
      </c>
      <c r="Y18" s="322">
        <f t="shared" si="26"/>
        <v>0</v>
      </c>
      <c r="Z18" s="322">
        <f t="shared" si="27"/>
        <v>0</v>
      </c>
      <c r="AA18" s="322">
        <f t="shared" si="28"/>
        <v>0</v>
      </c>
      <c r="AB18" s="322">
        <f t="shared" si="29"/>
        <v>0</v>
      </c>
      <c r="AC18" s="415">
        <f t="shared" si="7"/>
        <v>63</v>
      </c>
      <c r="AD18" s="421"/>
      <c r="AE18" s="429" t="s">
        <v>203</v>
      </c>
      <c r="AF18" s="435">
        <f>+N1</f>
        <v>415</v>
      </c>
      <c r="AG18" s="435">
        <f>+Y1</f>
        <v>293</v>
      </c>
      <c r="AH18" s="426">
        <f t="shared" si="30"/>
        <v>708</v>
      </c>
    </row>
    <row r="19" spans="1:34" x14ac:dyDescent="0.2">
      <c r="A19" s="322" t="str">
        <f>+EST_ITM!A30</f>
        <v>Ago-Dic 1992</v>
      </c>
      <c r="B19" s="322">
        <f t="shared" si="3"/>
        <v>0</v>
      </c>
      <c r="C19" s="322">
        <f t="shared" si="4"/>
        <v>0</v>
      </c>
      <c r="D19" s="322">
        <f t="shared" si="5"/>
        <v>0</v>
      </c>
      <c r="E19" s="322">
        <f t="shared" si="6"/>
        <v>0</v>
      </c>
      <c r="F19" s="322">
        <f t="shared" si="8"/>
        <v>15</v>
      </c>
      <c r="G19" s="322">
        <f t="shared" si="31"/>
        <v>5</v>
      </c>
      <c r="H19" s="322">
        <f t="shared" si="9"/>
        <v>1</v>
      </c>
      <c r="I19" s="322">
        <f t="shared" si="10"/>
        <v>1</v>
      </c>
      <c r="J19" s="322">
        <f t="shared" si="11"/>
        <v>20</v>
      </c>
      <c r="K19" s="322">
        <f t="shared" si="12"/>
        <v>0</v>
      </c>
      <c r="L19" s="322">
        <f t="shared" si="13"/>
        <v>0</v>
      </c>
      <c r="M19" s="322">
        <f t="shared" si="14"/>
        <v>0</v>
      </c>
      <c r="N19" s="322">
        <f t="shared" si="15"/>
        <v>0</v>
      </c>
      <c r="O19" s="322">
        <f t="shared" si="16"/>
        <v>0</v>
      </c>
      <c r="P19" s="322">
        <f t="shared" si="17"/>
        <v>0</v>
      </c>
      <c r="Q19" s="322">
        <f t="shared" si="18"/>
        <v>0</v>
      </c>
      <c r="R19" s="322">
        <f t="shared" si="19"/>
        <v>0</v>
      </c>
      <c r="S19" s="322">
        <f t="shared" si="20"/>
        <v>0</v>
      </c>
      <c r="T19" s="322">
        <f t="shared" si="21"/>
        <v>0</v>
      </c>
      <c r="U19" s="322">
        <f t="shared" si="22"/>
        <v>0</v>
      </c>
      <c r="V19" s="322">
        <f t="shared" si="23"/>
        <v>0</v>
      </c>
      <c r="W19" s="322">
        <f t="shared" si="24"/>
        <v>0</v>
      </c>
      <c r="X19" s="322">
        <f t="shared" si="25"/>
        <v>0</v>
      </c>
      <c r="Y19" s="322">
        <f t="shared" si="26"/>
        <v>0</v>
      </c>
      <c r="Z19" s="322">
        <f t="shared" si="27"/>
        <v>0</v>
      </c>
      <c r="AA19" s="322">
        <f t="shared" si="28"/>
        <v>0</v>
      </c>
      <c r="AB19" s="322">
        <f t="shared" si="29"/>
        <v>0</v>
      </c>
      <c r="AC19" s="415">
        <f t="shared" si="7"/>
        <v>42</v>
      </c>
      <c r="AD19" s="421"/>
      <c r="AE19" s="429" t="s">
        <v>218</v>
      </c>
      <c r="AF19" s="435"/>
      <c r="AG19" s="435">
        <f>+O1</f>
        <v>161</v>
      </c>
      <c r="AH19" s="426">
        <f t="shared" si="30"/>
        <v>161</v>
      </c>
    </row>
    <row r="20" spans="1:34" x14ac:dyDescent="0.2">
      <c r="A20" s="322" t="str">
        <f>+EST_ITM!A31</f>
        <v>Feb-Jun 1993</v>
      </c>
      <c r="B20" s="322">
        <f t="shared" si="3"/>
        <v>0</v>
      </c>
      <c r="C20" s="322">
        <f t="shared" si="4"/>
        <v>0</v>
      </c>
      <c r="D20" s="322">
        <f t="shared" si="5"/>
        <v>0</v>
      </c>
      <c r="E20" s="322">
        <f t="shared" si="6"/>
        <v>0</v>
      </c>
      <c r="F20" s="322">
        <f t="shared" si="8"/>
        <v>27</v>
      </c>
      <c r="G20" s="322">
        <f t="shared" si="31"/>
        <v>5</v>
      </c>
      <c r="H20" s="322">
        <f t="shared" si="9"/>
        <v>10</v>
      </c>
      <c r="I20" s="322">
        <f t="shared" si="10"/>
        <v>3</v>
      </c>
      <c r="J20" s="322">
        <f t="shared" si="11"/>
        <v>29</v>
      </c>
      <c r="K20" s="322">
        <f t="shared" si="12"/>
        <v>0</v>
      </c>
      <c r="L20" s="322">
        <f t="shared" si="13"/>
        <v>0</v>
      </c>
      <c r="M20" s="322">
        <f t="shared" si="14"/>
        <v>0</v>
      </c>
      <c r="N20" s="322">
        <f t="shared" si="15"/>
        <v>0</v>
      </c>
      <c r="O20" s="322">
        <f t="shared" si="16"/>
        <v>0</v>
      </c>
      <c r="P20" s="322">
        <f t="shared" si="17"/>
        <v>0</v>
      </c>
      <c r="Q20" s="322">
        <f t="shared" si="18"/>
        <v>0</v>
      </c>
      <c r="R20" s="322">
        <f t="shared" si="19"/>
        <v>0</v>
      </c>
      <c r="S20" s="322">
        <f t="shared" si="20"/>
        <v>0</v>
      </c>
      <c r="T20" s="322">
        <f t="shared" si="21"/>
        <v>0</v>
      </c>
      <c r="U20" s="322">
        <f t="shared" si="22"/>
        <v>0</v>
      </c>
      <c r="V20" s="322">
        <f t="shared" si="23"/>
        <v>0</v>
      </c>
      <c r="W20" s="322">
        <f t="shared" si="24"/>
        <v>0</v>
      </c>
      <c r="X20" s="322">
        <f t="shared" si="25"/>
        <v>0</v>
      </c>
      <c r="Y20" s="322">
        <f t="shared" si="26"/>
        <v>0</v>
      </c>
      <c r="Z20" s="322">
        <f t="shared" si="27"/>
        <v>0</v>
      </c>
      <c r="AA20" s="322">
        <f t="shared" si="28"/>
        <v>0</v>
      </c>
      <c r="AB20" s="322">
        <f t="shared" si="29"/>
        <v>0</v>
      </c>
      <c r="AC20" s="415">
        <f t="shared" si="7"/>
        <v>74</v>
      </c>
      <c r="AD20" s="421"/>
      <c r="AE20" s="429" t="s">
        <v>216</v>
      </c>
      <c r="AF20" s="435"/>
      <c r="AG20" s="435">
        <f>+P1</f>
        <v>89</v>
      </c>
      <c r="AH20" s="426">
        <f t="shared" si="30"/>
        <v>89</v>
      </c>
    </row>
    <row r="21" spans="1:34" x14ac:dyDescent="0.2">
      <c r="A21" s="322" t="str">
        <f>+EST_ITM!A32</f>
        <v>Ago-Dic 1993</v>
      </c>
      <c r="B21" s="322">
        <f t="shared" si="3"/>
        <v>0</v>
      </c>
      <c r="C21" s="322">
        <f t="shared" si="4"/>
        <v>0</v>
      </c>
      <c r="D21" s="322">
        <f t="shared" si="5"/>
        <v>0</v>
      </c>
      <c r="E21" s="322">
        <f t="shared" si="6"/>
        <v>0</v>
      </c>
      <c r="F21" s="322">
        <f t="shared" si="8"/>
        <v>19</v>
      </c>
      <c r="G21" s="322">
        <f t="shared" si="31"/>
        <v>1</v>
      </c>
      <c r="H21" s="322">
        <f t="shared" si="9"/>
        <v>7</v>
      </c>
      <c r="I21" s="322">
        <f t="shared" si="10"/>
        <v>7</v>
      </c>
      <c r="J21" s="322">
        <f t="shared" si="11"/>
        <v>47</v>
      </c>
      <c r="K21" s="322">
        <f t="shared" si="12"/>
        <v>0</v>
      </c>
      <c r="L21" s="322">
        <f t="shared" si="13"/>
        <v>0</v>
      </c>
      <c r="M21" s="322">
        <f t="shared" si="14"/>
        <v>0</v>
      </c>
      <c r="N21" s="322">
        <f t="shared" si="15"/>
        <v>0</v>
      </c>
      <c r="O21" s="322">
        <f t="shared" si="16"/>
        <v>0</v>
      </c>
      <c r="P21" s="322">
        <f t="shared" si="17"/>
        <v>0</v>
      </c>
      <c r="Q21" s="322">
        <f t="shared" si="18"/>
        <v>0</v>
      </c>
      <c r="R21" s="322">
        <f t="shared" si="19"/>
        <v>0</v>
      </c>
      <c r="S21" s="322">
        <f t="shared" si="20"/>
        <v>0</v>
      </c>
      <c r="T21" s="322">
        <f t="shared" si="21"/>
        <v>0</v>
      </c>
      <c r="U21" s="322">
        <f t="shared" si="22"/>
        <v>0</v>
      </c>
      <c r="V21" s="322">
        <f t="shared" si="23"/>
        <v>0</v>
      </c>
      <c r="W21" s="322">
        <f t="shared" si="24"/>
        <v>0</v>
      </c>
      <c r="X21" s="322">
        <f t="shared" si="25"/>
        <v>0</v>
      </c>
      <c r="Y21" s="322">
        <f t="shared" si="26"/>
        <v>0</v>
      </c>
      <c r="Z21" s="322">
        <f t="shared" si="27"/>
        <v>0</v>
      </c>
      <c r="AA21" s="322">
        <f t="shared" si="28"/>
        <v>0</v>
      </c>
      <c r="AB21" s="322">
        <f t="shared" si="29"/>
        <v>0</v>
      </c>
      <c r="AC21" s="415">
        <f t="shared" si="7"/>
        <v>81</v>
      </c>
      <c r="AD21" s="421"/>
      <c r="AE21" s="429" t="s">
        <v>167</v>
      </c>
      <c r="AF21" s="435"/>
      <c r="AG21" s="435">
        <f>+Q1</f>
        <v>136</v>
      </c>
      <c r="AH21" s="426">
        <f t="shared" si="30"/>
        <v>136</v>
      </c>
    </row>
    <row r="22" spans="1:34" x14ac:dyDescent="0.2">
      <c r="A22" s="322" t="str">
        <f>+EST_ITM!A33</f>
        <v>Feb-Jun 1994</v>
      </c>
      <c r="B22" s="322">
        <f t="shared" si="3"/>
        <v>0</v>
      </c>
      <c r="C22" s="322">
        <f t="shared" si="4"/>
        <v>0</v>
      </c>
      <c r="D22" s="322">
        <f t="shared" si="5"/>
        <v>0</v>
      </c>
      <c r="E22" s="322">
        <f t="shared" si="6"/>
        <v>0</v>
      </c>
      <c r="F22" s="322">
        <f t="shared" si="8"/>
        <v>18</v>
      </c>
      <c r="G22" s="322">
        <f t="shared" si="31"/>
        <v>9</v>
      </c>
      <c r="H22" s="322">
        <f t="shared" si="9"/>
        <v>29</v>
      </c>
      <c r="I22" s="322">
        <f t="shared" si="10"/>
        <v>5</v>
      </c>
      <c r="J22" s="322">
        <f t="shared" si="11"/>
        <v>27</v>
      </c>
      <c r="K22" s="322">
        <f t="shared" si="12"/>
        <v>0</v>
      </c>
      <c r="L22" s="322">
        <f t="shared" si="13"/>
        <v>0</v>
      </c>
      <c r="M22" s="322">
        <f t="shared" si="14"/>
        <v>0</v>
      </c>
      <c r="N22" s="322">
        <f t="shared" si="15"/>
        <v>0</v>
      </c>
      <c r="O22" s="322">
        <f t="shared" si="16"/>
        <v>0</v>
      </c>
      <c r="P22" s="322">
        <f t="shared" si="17"/>
        <v>0</v>
      </c>
      <c r="Q22" s="322">
        <f t="shared" si="18"/>
        <v>0</v>
      </c>
      <c r="R22" s="322">
        <f t="shared" si="19"/>
        <v>0</v>
      </c>
      <c r="S22" s="322">
        <f t="shared" si="20"/>
        <v>0</v>
      </c>
      <c r="T22" s="322">
        <f t="shared" si="21"/>
        <v>0</v>
      </c>
      <c r="U22" s="322">
        <f t="shared" si="22"/>
        <v>0</v>
      </c>
      <c r="V22" s="322">
        <f t="shared" si="23"/>
        <v>0</v>
      </c>
      <c r="W22" s="322">
        <f t="shared" si="24"/>
        <v>0</v>
      </c>
      <c r="X22" s="322">
        <f t="shared" si="25"/>
        <v>0</v>
      </c>
      <c r="Y22" s="322">
        <f t="shared" si="26"/>
        <v>0</v>
      </c>
      <c r="Z22" s="322">
        <f t="shared" si="27"/>
        <v>0</v>
      </c>
      <c r="AA22" s="322">
        <f t="shared" si="28"/>
        <v>0</v>
      </c>
      <c r="AB22" s="322">
        <f t="shared" si="29"/>
        <v>0</v>
      </c>
      <c r="AC22" s="415">
        <f t="shared" si="7"/>
        <v>88</v>
      </c>
      <c r="AD22" s="421"/>
      <c r="AE22" s="429" t="s">
        <v>217</v>
      </c>
      <c r="AF22" s="435"/>
      <c r="AG22" s="435">
        <f>+T1</f>
        <v>74</v>
      </c>
      <c r="AH22" s="426">
        <f t="shared" si="30"/>
        <v>74</v>
      </c>
    </row>
    <row r="23" spans="1:34" x14ac:dyDescent="0.2">
      <c r="A23" s="322" t="str">
        <f>+EST_ITM!A34</f>
        <v>Ago-Dic 1994</v>
      </c>
      <c r="B23" s="322">
        <f t="shared" si="3"/>
        <v>0</v>
      </c>
      <c r="C23" s="322">
        <f t="shared" si="4"/>
        <v>0</v>
      </c>
      <c r="D23" s="322">
        <f t="shared" si="5"/>
        <v>0</v>
      </c>
      <c r="E23" s="322">
        <f t="shared" si="6"/>
        <v>0</v>
      </c>
      <c r="F23" s="322">
        <f t="shared" si="8"/>
        <v>19</v>
      </c>
      <c r="G23" s="322">
        <f t="shared" si="31"/>
        <v>5</v>
      </c>
      <c r="H23" s="322">
        <f t="shared" si="9"/>
        <v>21</v>
      </c>
      <c r="I23" s="322">
        <f t="shared" si="10"/>
        <v>1</v>
      </c>
      <c r="J23" s="322">
        <f t="shared" si="11"/>
        <v>29</v>
      </c>
      <c r="K23" s="322">
        <f t="shared" si="12"/>
        <v>0</v>
      </c>
      <c r="L23" s="322">
        <f t="shared" si="13"/>
        <v>0</v>
      </c>
      <c r="M23" s="322">
        <f t="shared" si="14"/>
        <v>0</v>
      </c>
      <c r="N23" s="322">
        <f t="shared" si="15"/>
        <v>0</v>
      </c>
      <c r="O23" s="322">
        <f t="shared" si="16"/>
        <v>0</v>
      </c>
      <c r="P23" s="322">
        <f t="shared" si="17"/>
        <v>0</v>
      </c>
      <c r="Q23" s="322">
        <f t="shared" si="18"/>
        <v>0</v>
      </c>
      <c r="R23" s="322">
        <f t="shared" si="19"/>
        <v>0</v>
      </c>
      <c r="S23" s="322">
        <f t="shared" si="20"/>
        <v>0</v>
      </c>
      <c r="T23" s="322">
        <f t="shared" si="21"/>
        <v>0</v>
      </c>
      <c r="U23" s="322">
        <f t="shared" si="22"/>
        <v>0</v>
      </c>
      <c r="V23" s="322">
        <f t="shared" si="23"/>
        <v>0</v>
      </c>
      <c r="W23" s="322">
        <f t="shared" si="24"/>
        <v>0</v>
      </c>
      <c r="X23" s="322">
        <f t="shared" si="25"/>
        <v>0</v>
      </c>
      <c r="Y23" s="322">
        <f t="shared" si="26"/>
        <v>0</v>
      </c>
      <c r="Z23" s="322">
        <f t="shared" si="27"/>
        <v>0</v>
      </c>
      <c r="AA23" s="322">
        <f t="shared" si="28"/>
        <v>0</v>
      </c>
      <c r="AB23" s="322">
        <f t="shared" si="29"/>
        <v>0</v>
      </c>
      <c r="AC23" s="415">
        <f t="shared" si="7"/>
        <v>75</v>
      </c>
      <c r="AD23" s="421"/>
      <c r="AE23" s="429" t="s">
        <v>268</v>
      </c>
      <c r="AF23" s="436">
        <f>SUM(AF6:AF22)</f>
        <v>7700</v>
      </c>
      <c r="AG23" s="436">
        <f>SUM(AG6:AG22)</f>
        <v>1822</v>
      </c>
      <c r="AH23" s="434">
        <f>SUM(AH6:AH22)</f>
        <v>9522</v>
      </c>
    </row>
    <row r="24" spans="1:34" x14ac:dyDescent="0.2">
      <c r="A24" s="322" t="str">
        <f>+EST_ITM!A35</f>
        <v>Feb-Jun 1995</v>
      </c>
      <c r="B24" s="322">
        <f t="shared" si="3"/>
        <v>0</v>
      </c>
      <c r="C24" s="322">
        <f t="shared" si="4"/>
        <v>0</v>
      </c>
      <c r="D24" s="322">
        <f t="shared" si="5"/>
        <v>0</v>
      </c>
      <c r="E24" s="322">
        <f t="shared" si="6"/>
        <v>0</v>
      </c>
      <c r="F24" s="322">
        <f t="shared" si="8"/>
        <v>18</v>
      </c>
      <c r="G24" s="322">
        <f t="shared" si="31"/>
        <v>4</v>
      </c>
      <c r="H24" s="322">
        <f t="shared" si="9"/>
        <v>3</v>
      </c>
      <c r="I24" s="322">
        <f t="shared" si="10"/>
        <v>3</v>
      </c>
      <c r="J24" s="322">
        <f t="shared" si="11"/>
        <v>9</v>
      </c>
      <c r="K24" s="322">
        <f t="shared" si="12"/>
        <v>0</v>
      </c>
      <c r="L24" s="322">
        <f t="shared" si="13"/>
        <v>0</v>
      </c>
      <c r="M24" s="322">
        <f t="shared" si="14"/>
        <v>0</v>
      </c>
      <c r="N24" s="322">
        <f t="shared" si="15"/>
        <v>0</v>
      </c>
      <c r="O24" s="322">
        <f t="shared" si="16"/>
        <v>0</v>
      </c>
      <c r="P24" s="322">
        <f t="shared" si="17"/>
        <v>0</v>
      </c>
      <c r="Q24" s="322">
        <f t="shared" si="18"/>
        <v>0</v>
      </c>
      <c r="R24" s="322">
        <f t="shared" si="19"/>
        <v>0</v>
      </c>
      <c r="S24" s="322">
        <f t="shared" si="20"/>
        <v>0</v>
      </c>
      <c r="T24" s="322">
        <f t="shared" si="21"/>
        <v>0</v>
      </c>
      <c r="U24" s="322">
        <f t="shared" si="22"/>
        <v>0</v>
      </c>
      <c r="V24" s="322">
        <f t="shared" si="23"/>
        <v>0</v>
      </c>
      <c r="W24" s="322">
        <f t="shared" si="24"/>
        <v>0</v>
      </c>
      <c r="X24" s="322">
        <f t="shared" si="25"/>
        <v>0</v>
      </c>
      <c r="Y24" s="322">
        <f t="shared" si="26"/>
        <v>0</v>
      </c>
      <c r="Z24" s="322">
        <f t="shared" si="27"/>
        <v>0</v>
      </c>
      <c r="AA24" s="322">
        <f t="shared" si="28"/>
        <v>0</v>
      </c>
      <c r="AB24" s="322">
        <f t="shared" si="29"/>
        <v>0</v>
      </c>
      <c r="AC24" s="415">
        <f t="shared" si="7"/>
        <v>37</v>
      </c>
      <c r="AD24" s="421"/>
      <c r="AE24" s="428"/>
      <c r="AF24" s="437"/>
      <c r="AG24" s="437"/>
      <c r="AH24" s="427"/>
    </row>
    <row r="25" spans="1:34" x14ac:dyDescent="0.2">
      <c r="A25" s="322" t="str">
        <f>+EST_ITM!A36</f>
        <v>Ago-Dic 1995</v>
      </c>
      <c r="B25" s="322">
        <f t="shared" si="3"/>
        <v>0</v>
      </c>
      <c r="C25" s="322">
        <f t="shared" si="4"/>
        <v>0</v>
      </c>
      <c r="D25" s="322">
        <f t="shared" si="5"/>
        <v>0</v>
      </c>
      <c r="E25" s="322">
        <f t="shared" si="6"/>
        <v>0</v>
      </c>
      <c r="F25" s="322">
        <f t="shared" si="8"/>
        <v>24</v>
      </c>
      <c r="G25" s="322">
        <f t="shared" si="31"/>
        <v>4</v>
      </c>
      <c r="H25" s="322">
        <f t="shared" si="9"/>
        <v>18</v>
      </c>
      <c r="I25" s="322">
        <f t="shared" si="10"/>
        <v>5</v>
      </c>
      <c r="J25" s="322">
        <f t="shared" si="11"/>
        <v>0</v>
      </c>
      <c r="K25" s="322">
        <f t="shared" si="12"/>
        <v>0</v>
      </c>
      <c r="L25" s="322">
        <f t="shared" si="13"/>
        <v>0</v>
      </c>
      <c r="M25" s="322">
        <f t="shared" si="14"/>
        <v>0</v>
      </c>
      <c r="N25" s="322">
        <f t="shared" si="15"/>
        <v>0</v>
      </c>
      <c r="O25" s="322">
        <f t="shared" si="16"/>
        <v>0</v>
      </c>
      <c r="P25" s="322">
        <f t="shared" si="17"/>
        <v>0</v>
      </c>
      <c r="Q25" s="322">
        <f t="shared" si="18"/>
        <v>0</v>
      </c>
      <c r="R25" s="322">
        <f t="shared" si="19"/>
        <v>0</v>
      </c>
      <c r="S25" s="322">
        <f t="shared" si="20"/>
        <v>0</v>
      </c>
      <c r="T25" s="322">
        <f t="shared" si="21"/>
        <v>0</v>
      </c>
      <c r="U25" s="322">
        <f t="shared" si="22"/>
        <v>0</v>
      </c>
      <c r="V25" s="322">
        <f t="shared" si="23"/>
        <v>0</v>
      </c>
      <c r="W25" s="322">
        <f t="shared" si="24"/>
        <v>0</v>
      </c>
      <c r="X25" s="322">
        <f t="shared" si="25"/>
        <v>0</v>
      </c>
      <c r="Y25" s="322">
        <f t="shared" si="26"/>
        <v>0</v>
      </c>
      <c r="Z25" s="322">
        <f t="shared" si="27"/>
        <v>0</v>
      </c>
      <c r="AA25" s="322">
        <f t="shared" si="28"/>
        <v>0</v>
      </c>
      <c r="AB25" s="322">
        <f t="shared" si="29"/>
        <v>0</v>
      </c>
      <c r="AC25" s="415">
        <f t="shared" si="7"/>
        <v>51</v>
      </c>
      <c r="AD25" s="421"/>
    </row>
    <row r="26" spans="1:34" x14ac:dyDescent="0.2">
      <c r="A26" s="322" t="str">
        <f>+EST_ITM!A37</f>
        <v>Feb-Jun 1996</v>
      </c>
      <c r="B26" s="322">
        <f t="shared" si="3"/>
        <v>0</v>
      </c>
      <c r="C26" s="322">
        <f t="shared" si="4"/>
        <v>0</v>
      </c>
      <c r="D26" s="322">
        <f t="shared" si="5"/>
        <v>0</v>
      </c>
      <c r="E26" s="322">
        <f t="shared" si="6"/>
        <v>0</v>
      </c>
      <c r="F26" s="322">
        <f t="shared" si="8"/>
        <v>14</v>
      </c>
      <c r="G26" s="322">
        <f t="shared" si="31"/>
        <v>6</v>
      </c>
      <c r="H26" s="322">
        <f t="shared" si="9"/>
        <v>14</v>
      </c>
      <c r="I26" s="322">
        <f t="shared" si="10"/>
        <v>12</v>
      </c>
      <c r="J26" s="322">
        <f t="shared" si="11"/>
        <v>17</v>
      </c>
      <c r="K26" s="322">
        <f t="shared" si="12"/>
        <v>0</v>
      </c>
      <c r="L26" s="322">
        <f t="shared" si="13"/>
        <v>0</v>
      </c>
      <c r="M26" s="322">
        <f t="shared" si="14"/>
        <v>0</v>
      </c>
      <c r="N26" s="322">
        <f t="shared" si="15"/>
        <v>0</v>
      </c>
      <c r="O26" s="322">
        <f t="shared" si="16"/>
        <v>0</v>
      </c>
      <c r="P26" s="322">
        <f t="shared" si="17"/>
        <v>0</v>
      </c>
      <c r="Q26" s="322">
        <f t="shared" si="18"/>
        <v>0</v>
      </c>
      <c r="R26" s="322">
        <f t="shared" si="19"/>
        <v>0</v>
      </c>
      <c r="S26" s="322">
        <f t="shared" si="20"/>
        <v>0</v>
      </c>
      <c r="T26" s="322">
        <f t="shared" si="21"/>
        <v>0</v>
      </c>
      <c r="U26" s="322">
        <f t="shared" si="22"/>
        <v>0</v>
      </c>
      <c r="V26" s="322">
        <f t="shared" si="23"/>
        <v>0</v>
      </c>
      <c r="W26" s="322">
        <f t="shared" si="24"/>
        <v>0</v>
      </c>
      <c r="X26" s="322">
        <f t="shared" si="25"/>
        <v>0</v>
      </c>
      <c r="Y26" s="322">
        <f t="shared" si="26"/>
        <v>0</v>
      </c>
      <c r="Z26" s="322">
        <f t="shared" si="27"/>
        <v>0</v>
      </c>
      <c r="AA26" s="322">
        <f t="shared" si="28"/>
        <v>0</v>
      </c>
      <c r="AB26" s="322">
        <f t="shared" si="29"/>
        <v>0</v>
      </c>
      <c r="AC26" s="415">
        <f t="shared" si="7"/>
        <v>63</v>
      </c>
      <c r="AD26" s="421"/>
    </row>
    <row r="27" spans="1:34" x14ac:dyDescent="0.2">
      <c r="A27" s="322" t="str">
        <f>+EST_ITM!A38</f>
        <v>Ago-Dic 1996</v>
      </c>
      <c r="B27" s="322">
        <f t="shared" si="3"/>
        <v>0</v>
      </c>
      <c r="C27" s="322">
        <f t="shared" si="4"/>
        <v>0</v>
      </c>
      <c r="D27" s="322">
        <f t="shared" si="5"/>
        <v>0</v>
      </c>
      <c r="E27" s="322">
        <f t="shared" si="6"/>
        <v>0</v>
      </c>
      <c r="F27" s="322">
        <f t="shared" si="8"/>
        <v>14</v>
      </c>
      <c r="G27" s="322">
        <f t="shared" si="31"/>
        <v>8</v>
      </c>
      <c r="H27" s="322">
        <f t="shared" si="9"/>
        <v>50</v>
      </c>
      <c r="I27" s="322">
        <f t="shared" si="10"/>
        <v>5</v>
      </c>
      <c r="J27" s="322">
        <f t="shared" si="11"/>
        <v>21</v>
      </c>
      <c r="K27" s="322">
        <f t="shared" si="12"/>
        <v>0</v>
      </c>
      <c r="L27" s="322">
        <f t="shared" si="13"/>
        <v>0</v>
      </c>
      <c r="M27" s="322">
        <f t="shared" si="14"/>
        <v>0</v>
      </c>
      <c r="N27" s="322">
        <f t="shared" si="15"/>
        <v>0</v>
      </c>
      <c r="O27" s="322">
        <f t="shared" si="16"/>
        <v>0</v>
      </c>
      <c r="P27" s="322">
        <f t="shared" si="17"/>
        <v>0</v>
      </c>
      <c r="Q27" s="322">
        <f t="shared" si="18"/>
        <v>0</v>
      </c>
      <c r="R27" s="322">
        <f t="shared" si="19"/>
        <v>0</v>
      </c>
      <c r="S27" s="322">
        <f t="shared" si="20"/>
        <v>0</v>
      </c>
      <c r="T27" s="322">
        <f t="shared" si="21"/>
        <v>0</v>
      </c>
      <c r="U27" s="322">
        <f t="shared" si="22"/>
        <v>0</v>
      </c>
      <c r="V27" s="322">
        <f t="shared" si="23"/>
        <v>0</v>
      </c>
      <c r="W27" s="322">
        <f t="shared" si="24"/>
        <v>0</v>
      </c>
      <c r="X27" s="322">
        <f t="shared" si="25"/>
        <v>0</v>
      </c>
      <c r="Y27" s="322">
        <f t="shared" si="26"/>
        <v>0</v>
      </c>
      <c r="Z27" s="322">
        <f t="shared" si="27"/>
        <v>0</v>
      </c>
      <c r="AA27" s="322">
        <f t="shared" si="28"/>
        <v>0</v>
      </c>
      <c r="AB27" s="322">
        <f t="shared" si="29"/>
        <v>0</v>
      </c>
      <c r="AC27" s="415">
        <f t="shared" si="7"/>
        <v>98</v>
      </c>
      <c r="AD27" s="421"/>
    </row>
    <row r="28" spans="1:34" x14ac:dyDescent="0.2">
      <c r="A28" s="322" t="str">
        <f>+EST_ITM!A39</f>
        <v>Feb-Jun 1997</v>
      </c>
      <c r="B28" s="322">
        <f t="shared" si="3"/>
        <v>0</v>
      </c>
      <c r="C28" s="322">
        <f t="shared" si="4"/>
        <v>0</v>
      </c>
      <c r="D28" s="322">
        <f t="shared" si="5"/>
        <v>0</v>
      </c>
      <c r="E28" s="322">
        <f t="shared" si="6"/>
        <v>0</v>
      </c>
      <c r="F28" s="322">
        <f t="shared" si="8"/>
        <v>6</v>
      </c>
      <c r="G28" s="322">
        <f t="shared" si="31"/>
        <v>0</v>
      </c>
      <c r="H28" s="322">
        <f t="shared" si="9"/>
        <v>15</v>
      </c>
      <c r="I28" s="322">
        <f t="shared" si="10"/>
        <v>7</v>
      </c>
      <c r="J28" s="322">
        <f t="shared" si="11"/>
        <v>14</v>
      </c>
      <c r="K28" s="322">
        <f t="shared" si="12"/>
        <v>0</v>
      </c>
      <c r="L28" s="322">
        <f t="shared" si="13"/>
        <v>0</v>
      </c>
      <c r="M28" s="322">
        <f t="shared" si="14"/>
        <v>0</v>
      </c>
      <c r="N28" s="322">
        <f t="shared" si="15"/>
        <v>0</v>
      </c>
      <c r="O28" s="322">
        <f t="shared" si="16"/>
        <v>0</v>
      </c>
      <c r="P28" s="322">
        <f t="shared" si="17"/>
        <v>0</v>
      </c>
      <c r="Q28" s="322">
        <f t="shared" si="18"/>
        <v>0</v>
      </c>
      <c r="R28" s="322">
        <f t="shared" si="19"/>
        <v>0</v>
      </c>
      <c r="S28" s="322">
        <f t="shared" si="20"/>
        <v>0</v>
      </c>
      <c r="T28" s="322">
        <f t="shared" si="21"/>
        <v>0</v>
      </c>
      <c r="U28" s="322">
        <f t="shared" si="22"/>
        <v>0</v>
      </c>
      <c r="V28" s="322">
        <f t="shared" si="23"/>
        <v>0</v>
      </c>
      <c r="W28" s="322">
        <f t="shared" si="24"/>
        <v>0</v>
      </c>
      <c r="X28" s="322">
        <f t="shared" si="25"/>
        <v>0</v>
      </c>
      <c r="Y28" s="322">
        <f t="shared" si="26"/>
        <v>0</v>
      </c>
      <c r="Z28" s="322">
        <f t="shared" si="27"/>
        <v>0</v>
      </c>
      <c r="AA28" s="322">
        <f t="shared" si="28"/>
        <v>0</v>
      </c>
      <c r="AB28" s="322">
        <f t="shared" si="29"/>
        <v>0</v>
      </c>
      <c r="AC28" s="415">
        <f t="shared" si="7"/>
        <v>42</v>
      </c>
      <c r="AD28" s="421"/>
    </row>
    <row r="29" spans="1:34" x14ac:dyDescent="0.2">
      <c r="A29" s="322" t="str">
        <f>+EST_ITM!A40</f>
        <v>Ago-Dic 1997</v>
      </c>
      <c r="B29" s="322">
        <f t="shared" si="3"/>
        <v>0</v>
      </c>
      <c r="C29" s="322">
        <f t="shared" si="4"/>
        <v>0</v>
      </c>
      <c r="D29" s="322">
        <f t="shared" si="5"/>
        <v>0</v>
      </c>
      <c r="E29" s="322">
        <f t="shared" si="6"/>
        <v>0</v>
      </c>
      <c r="F29" s="322">
        <f t="shared" si="8"/>
        <v>13</v>
      </c>
      <c r="G29" s="322">
        <f t="shared" si="31"/>
        <v>11</v>
      </c>
      <c r="H29" s="322">
        <f t="shared" si="9"/>
        <v>54</v>
      </c>
      <c r="I29" s="322">
        <f t="shared" si="10"/>
        <v>10</v>
      </c>
      <c r="J29" s="322">
        <f t="shared" si="11"/>
        <v>15</v>
      </c>
      <c r="K29" s="322">
        <f t="shared" si="12"/>
        <v>0</v>
      </c>
      <c r="L29" s="322">
        <f t="shared" si="13"/>
        <v>0</v>
      </c>
      <c r="M29" s="322">
        <f t="shared" si="14"/>
        <v>0</v>
      </c>
      <c r="N29" s="322">
        <f t="shared" si="15"/>
        <v>0</v>
      </c>
      <c r="O29" s="322">
        <f t="shared" si="16"/>
        <v>0</v>
      </c>
      <c r="P29" s="322">
        <f t="shared" si="17"/>
        <v>0</v>
      </c>
      <c r="Q29" s="322">
        <f t="shared" si="18"/>
        <v>0</v>
      </c>
      <c r="R29" s="322">
        <f t="shared" si="19"/>
        <v>0</v>
      </c>
      <c r="S29" s="322">
        <f t="shared" si="20"/>
        <v>0</v>
      </c>
      <c r="T29" s="322">
        <f t="shared" si="21"/>
        <v>0</v>
      </c>
      <c r="U29" s="322">
        <f t="shared" si="22"/>
        <v>0</v>
      </c>
      <c r="V29" s="322">
        <f t="shared" si="23"/>
        <v>0</v>
      </c>
      <c r="W29" s="322">
        <f t="shared" si="24"/>
        <v>0</v>
      </c>
      <c r="X29" s="322">
        <f t="shared" si="25"/>
        <v>0</v>
      </c>
      <c r="Y29" s="322">
        <f t="shared" si="26"/>
        <v>0</v>
      </c>
      <c r="Z29" s="322">
        <f t="shared" si="27"/>
        <v>0</v>
      </c>
      <c r="AA29" s="322">
        <f t="shared" si="28"/>
        <v>0</v>
      </c>
      <c r="AB29" s="322">
        <f t="shared" si="29"/>
        <v>0</v>
      </c>
      <c r="AC29" s="415">
        <f t="shared" si="7"/>
        <v>103</v>
      </c>
      <c r="AD29" s="421"/>
    </row>
    <row r="30" spans="1:34" x14ac:dyDescent="0.2">
      <c r="A30" s="322" t="str">
        <f>+EST_ITM!A41</f>
        <v>Feb-Jun 1998</v>
      </c>
      <c r="B30" s="322">
        <f t="shared" si="3"/>
        <v>0</v>
      </c>
      <c r="C30" s="322">
        <f t="shared" si="4"/>
        <v>0</v>
      </c>
      <c r="D30" s="322">
        <f t="shared" si="5"/>
        <v>0</v>
      </c>
      <c r="E30" s="322">
        <f t="shared" si="6"/>
        <v>0</v>
      </c>
      <c r="F30" s="322">
        <f t="shared" si="8"/>
        <v>9</v>
      </c>
      <c r="G30" s="322">
        <f t="shared" si="31"/>
        <v>3</v>
      </c>
      <c r="H30" s="322">
        <f t="shared" si="9"/>
        <v>36</v>
      </c>
      <c r="I30" s="322">
        <f t="shared" si="10"/>
        <v>10</v>
      </c>
      <c r="J30" s="322">
        <f t="shared" si="11"/>
        <v>29</v>
      </c>
      <c r="K30" s="322">
        <f t="shared" si="12"/>
        <v>45</v>
      </c>
      <c r="L30" s="322">
        <f t="shared" si="13"/>
        <v>0</v>
      </c>
      <c r="M30" s="322">
        <f t="shared" si="14"/>
        <v>0</v>
      </c>
      <c r="N30" s="322">
        <f t="shared" si="15"/>
        <v>0</v>
      </c>
      <c r="O30" s="322">
        <f t="shared" si="16"/>
        <v>0</v>
      </c>
      <c r="P30" s="322">
        <f t="shared" si="17"/>
        <v>0</v>
      </c>
      <c r="Q30" s="322">
        <f t="shared" si="18"/>
        <v>0</v>
      </c>
      <c r="R30" s="322">
        <f t="shared" si="19"/>
        <v>0</v>
      </c>
      <c r="S30" s="322">
        <f t="shared" si="20"/>
        <v>0</v>
      </c>
      <c r="T30" s="322">
        <f t="shared" si="21"/>
        <v>0</v>
      </c>
      <c r="U30" s="322">
        <f t="shared" si="22"/>
        <v>0</v>
      </c>
      <c r="V30" s="322">
        <f t="shared" si="23"/>
        <v>0</v>
      </c>
      <c r="W30" s="322">
        <f t="shared" si="24"/>
        <v>0</v>
      </c>
      <c r="X30" s="322">
        <f t="shared" si="25"/>
        <v>0</v>
      </c>
      <c r="Y30" s="322">
        <f t="shared" si="26"/>
        <v>0</v>
      </c>
      <c r="Z30" s="322">
        <f t="shared" si="27"/>
        <v>0</v>
      </c>
      <c r="AA30" s="322">
        <f t="shared" si="28"/>
        <v>0</v>
      </c>
      <c r="AB30" s="322">
        <f t="shared" si="29"/>
        <v>0</v>
      </c>
      <c r="AC30" s="415">
        <f t="shared" si="7"/>
        <v>132</v>
      </c>
      <c r="AD30" s="421"/>
    </row>
    <row r="31" spans="1:34" x14ac:dyDescent="0.2">
      <c r="A31" s="322" t="str">
        <f>+EST_ITM!A42</f>
        <v>Ago-Dic 1998</v>
      </c>
      <c r="B31" s="322">
        <f t="shared" si="3"/>
        <v>0</v>
      </c>
      <c r="C31" s="322">
        <f t="shared" si="4"/>
        <v>0</v>
      </c>
      <c r="D31" s="322">
        <f t="shared" si="5"/>
        <v>0</v>
      </c>
      <c r="E31" s="322">
        <f t="shared" si="6"/>
        <v>0</v>
      </c>
      <c r="F31" s="322">
        <f t="shared" si="8"/>
        <v>11</v>
      </c>
      <c r="G31" s="322">
        <f t="shared" si="31"/>
        <v>7</v>
      </c>
      <c r="H31" s="322">
        <f t="shared" si="9"/>
        <v>47</v>
      </c>
      <c r="I31" s="322">
        <f t="shared" si="10"/>
        <v>14</v>
      </c>
      <c r="J31" s="322">
        <f t="shared" si="11"/>
        <v>26</v>
      </c>
      <c r="K31" s="322">
        <f t="shared" si="12"/>
        <v>68</v>
      </c>
      <c r="L31" s="322">
        <f t="shared" si="13"/>
        <v>0</v>
      </c>
      <c r="M31" s="322">
        <f t="shared" si="14"/>
        <v>7</v>
      </c>
      <c r="N31" s="322">
        <f t="shared" si="15"/>
        <v>0</v>
      </c>
      <c r="O31" s="322">
        <f t="shared" si="16"/>
        <v>0</v>
      </c>
      <c r="P31" s="322">
        <f t="shared" si="17"/>
        <v>0</v>
      </c>
      <c r="Q31" s="322">
        <f t="shared" si="18"/>
        <v>0</v>
      </c>
      <c r="R31" s="322">
        <f t="shared" si="19"/>
        <v>0</v>
      </c>
      <c r="S31" s="322">
        <f t="shared" si="20"/>
        <v>0</v>
      </c>
      <c r="T31" s="322">
        <f t="shared" si="21"/>
        <v>0</v>
      </c>
      <c r="U31" s="322">
        <f t="shared" si="22"/>
        <v>0</v>
      </c>
      <c r="V31" s="322">
        <f t="shared" si="23"/>
        <v>0</v>
      </c>
      <c r="W31" s="322">
        <f t="shared" si="24"/>
        <v>0</v>
      </c>
      <c r="X31" s="322">
        <f t="shared" si="25"/>
        <v>0</v>
      </c>
      <c r="Y31" s="322">
        <f t="shared" si="26"/>
        <v>0</v>
      </c>
      <c r="Z31" s="322">
        <f t="shared" si="27"/>
        <v>0</v>
      </c>
      <c r="AA31" s="322">
        <f t="shared" si="28"/>
        <v>0</v>
      </c>
      <c r="AB31" s="322">
        <f t="shared" si="29"/>
        <v>0</v>
      </c>
      <c r="AC31" s="415">
        <f t="shared" si="7"/>
        <v>180</v>
      </c>
      <c r="AD31" s="421"/>
    </row>
    <row r="32" spans="1:34" x14ac:dyDescent="0.2">
      <c r="A32" s="322" t="str">
        <f>+EST_ITM!A43</f>
        <v>Feb-Jun 1999</v>
      </c>
      <c r="B32" s="322">
        <f t="shared" si="3"/>
        <v>0</v>
      </c>
      <c r="C32" s="322">
        <f t="shared" si="4"/>
        <v>0</v>
      </c>
      <c r="D32" s="322">
        <f t="shared" si="5"/>
        <v>0</v>
      </c>
      <c r="E32" s="322">
        <f t="shared" si="6"/>
        <v>0</v>
      </c>
      <c r="F32" s="322">
        <f t="shared" si="8"/>
        <v>8</v>
      </c>
      <c r="G32" s="322">
        <f t="shared" si="31"/>
        <v>10</v>
      </c>
      <c r="H32" s="322">
        <f t="shared" si="9"/>
        <v>49</v>
      </c>
      <c r="I32" s="322">
        <f t="shared" si="10"/>
        <v>6</v>
      </c>
      <c r="J32" s="322">
        <f t="shared" si="11"/>
        <v>15</v>
      </c>
      <c r="K32" s="322">
        <f t="shared" si="12"/>
        <v>74</v>
      </c>
      <c r="L32" s="322">
        <f t="shared" si="13"/>
        <v>4</v>
      </c>
      <c r="M32" s="322">
        <f t="shared" si="14"/>
        <v>15</v>
      </c>
      <c r="N32" s="322">
        <f t="shared" si="15"/>
        <v>0</v>
      </c>
      <c r="O32" s="322">
        <f t="shared" si="16"/>
        <v>0</v>
      </c>
      <c r="P32" s="322">
        <f t="shared" si="17"/>
        <v>0</v>
      </c>
      <c r="Q32" s="322">
        <f t="shared" si="18"/>
        <v>0</v>
      </c>
      <c r="R32" s="322">
        <f t="shared" si="19"/>
        <v>0</v>
      </c>
      <c r="S32" s="322">
        <f t="shared" si="20"/>
        <v>0</v>
      </c>
      <c r="T32" s="322">
        <f t="shared" si="21"/>
        <v>0</v>
      </c>
      <c r="U32" s="322">
        <f t="shared" si="22"/>
        <v>0</v>
      </c>
      <c r="V32" s="322">
        <f t="shared" si="23"/>
        <v>0</v>
      </c>
      <c r="W32" s="322">
        <f t="shared" si="24"/>
        <v>0</v>
      </c>
      <c r="X32" s="322">
        <f t="shared" si="25"/>
        <v>0</v>
      </c>
      <c r="Y32" s="322">
        <f t="shared" si="26"/>
        <v>0</v>
      </c>
      <c r="Z32" s="322">
        <f t="shared" si="27"/>
        <v>0</v>
      </c>
      <c r="AA32" s="322">
        <f t="shared" si="28"/>
        <v>0</v>
      </c>
      <c r="AB32" s="322">
        <f t="shared" si="29"/>
        <v>0</v>
      </c>
      <c r="AC32" s="415">
        <f t="shared" si="7"/>
        <v>181</v>
      </c>
      <c r="AD32" s="421"/>
    </row>
    <row r="33" spans="1:31" x14ac:dyDescent="0.2">
      <c r="A33" s="322" t="str">
        <f>+EST_ITM!A44</f>
        <v>Ago-Dic 1999</v>
      </c>
      <c r="B33" s="322">
        <f t="shared" si="3"/>
        <v>0</v>
      </c>
      <c r="C33" s="322">
        <f t="shared" si="4"/>
        <v>0</v>
      </c>
      <c r="D33" s="322">
        <f t="shared" si="5"/>
        <v>0</v>
      </c>
      <c r="E33" s="322">
        <f t="shared" si="6"/>
        <v>0</v>
      </c>
      <c r="F33" s="322">
        <f t="shared" si="8"/>
        <v>10</v>
      </c>
      <c r="G33" s="322">
        <f t="shared" si="31"/>
        <v>5</v>
      </c>
      <c r="H33" s="322">
        <f t="shared" si="9"/>
        <v>30</v>
      </c>
      <c r="I33" s="322">
        <f t="shared" si="10"/>
        <v>10</v>
      </c>
      <c r="J33" s="322">
        <f t="shared" si="11"/>
        <v>15</v>
      </c>
      <c r="K33" s="322">
        <f t="shared" si="12"/>
        <v>30</v>
      </c>
      <c r="L33" s="322">
        <f t="shared" si="13"/>
        <v>10</v>
      </c>
      <c r="M33" s="322">
        <f t="shared" si="14"/>
        <v>10</v>
      </c>
      <c r="N33" s="322">
        <f t="shared" si="15"/>
        <v>0</v>
      </c>
      <c r="O33" s="322">
        <f t="shared" si="16"/>
        <v>0</v>
      </c>
      <c r="P33" s="322">
        <f t="shared" si="17"/>
        <v>0</v>
      </c>
      <c r="Q33" s="322">
        <f t="shared" si="18"/>
        <v>0</v>
      </c>
      <c r="R33" s="322">
        <f t="shared" si="19"/>
        <v>0</v>
      </c>
      <c r="S33" s="322">
        <f t="shared" si="20"/>
        <v>0</v>
      </c>
      <c r="T33" s="322">
        <f t="shared" si="21"/>
        <v>0</v>
      </c>
      <c r="U33" s="322">
        <f t="shared" si="22"/>
        <v>0</v>
      </c>
      <c r="V33" s="322">
        <f t="shared" si="23"/>
        <v>0</v>
      </c>
      <c r="W33" s="322">
        <f t="shared" si="24"/>
        <v>0</v>
      </c>
      <c r="X33" s="322">
        <f t="shared" si="25"/>
        <v>0</v>
      </c>
      <c r="Y33" s="322">
        <f t="shared" si="26"/>
        <v>0</v>
      </c>
      <c r="Z33" s="322">
        <f t="shared" si="27"/>
        <v>0</v>
      </c>
      <c r="AA33" s="322">
        <f t="shared" si="28"/>
        <v>0</v>
      </c>
      <c r="AB33" s="322">
        <f t="shared" si="29"/>
        <v>0</v>
      </c>
      <c r="AC33" s="415">
        <f t="shared" si="7"/>
        <v>120</v>
      </c>
      <c r="AD33" s="421"/>
    </row>
    <row r="34" spans="1:31" x14ac:dyDescent="0.2">
      <c r="A34" s="322" t="str">
        <f>+EST_ITM!A45</f>
        <v>Feb-Jun 2000</v>
      </c>
      <c r="B34" s="322">
        <f t="shared" si="3"/>
        <v>0</v>
      </c>
      <c r="C34" s="322">
        <f t="shared" si="4"/>
        <v>0</v>
      </c>
      <c r="D34" s="322">
        <f t="shared" si="5"/>
        <v>0</v>
      </c>
      <c r="E34" s="322">
        <f t="shared" si="6"/>
        <v>0</v>
      </c>
      <c r="F34" s="322">
        <f t="shared" si="8"/>
        <v>23</v>
      </c>
      <c r="G34" s="322">
        <f t="shared" si="31"/>
        <v>2</v>
      </c>
      <c r="H34" s="322">
        <f t="shared" si="9"/>
        <v>37</v>
      </c>
      <c r="I34" s="322">
        <f t="shared" si="10"/>
        <v>27</v>
      </c>
      <c r="J34" s="322">
        <f t="shared" si="11"/>
        <v>25</v>
      </c>
      <c r="K34" s="322">
        <f t="shared" si="12"/>
        <v>36</v>
      </c>
      <c r="L34" s="322">
        <f t="shared" si="13"/>
        <v>26</v>
      </c>
      <c r="M34" s="322">
        <f t="shared" si="14"/>
        <v>15</v>
      </c>
      <c r="N34" s="322">
        <f t="shared" si="15"/>
        <v>0</v>
      </c>
      <c r="O34" s="322">
        <f t="shared" si="16"/>
        <v>0</v>
      </c>
      <c r="P34" s="322">
        <f t="shared" si="17"/>
        <v>0</v>
      </c>
      <c r="Q34" s="322">
        <f t="shared" si="18"/>
        <v>0</v>
      </c>
      <c r="R34" s="322">
        <f t="shared" si="19"/>
        <v>0</v>
      </c>
      <c r="S34" s="322">
        <f t="shared" si="20"/>
        <v>0</v>
      </c>
      <c r="T34" s="322">
        <f t="shared" si="21"/>
        <v>0</v>
      </c>
      <c r="U34" s="322">
        <f t="shared" si="22"/>
        <v>0</v>
      </c>
      <c r="V34" s="322">
        <f t="shared" si="23"/>
        <v>0</v>
      </c>
      <c r="W34" s="322">
        <f t="shared" si="24"/>
        <v>0</v>
      </c>
      <c r="X34" s="322">
        <f t="shared" si="25"/>
        <v>0</v>
      </c>
      <c r="Y34" s="322">
        <f t="shared" si="26"/>
        <v>0</v>
      </c>
      <c r="Z34" s="322">
        <f t="shared" si="27"/>
        <v>0</v>
      </c>
      <c r="AA34" s="322">
        <f t="shared" si="28"/>
        <v>0</v>
      </c>
      <c r="AB34" s="322">
        <f t="shared" si="29"/>
        <v>0</v>
      </c>
      <c r="AC34" s="415">
        <f t="shared" si="7"/>
        <v>191</v>
      </c>
      <c r="AD34" s="421"/>
    </row>
    <row r="35" spans="1:31" x14ac:dyDescent="0.2">
      <c r="A35" s="322" t="str">
        <f>+EST_ITM!A46</f>
        <v>Ago-Dic 2000</v>
      </c>
      <c r="B35" s="322">
        <f t="shared" si="3"/>
        <v>0</v>
      </c>
      <c r="C35" s="322">
        <f t="shared" si="4"/>
        <v>0</v>
      </c>
      <c r="D35" s="322">
        <f t="shared" si="5"/>
        <v>0</v>
      </c>
      <c r="E35" s="322">
        <f t="shared" si="6"/>
        <v>0</v>
      </c>
      <c r="F35" s="322">
        <f t="shared" si="8"/>
        <v>14</v>
      </c>
      <c r="G35" s="322">
        <f t="shared" si="31"/>
        <v>5</v>
      </c>
      <c r="H35" s="322">
        <f t="shared" si="9"/>
        <v>76</v>
      </c>
      <c r="I35" s="322">
        <f t="shared" si="10"/>
        <v>17</v>
      </c>
      <c r="J35" s="322">
        <f t="shared" si="11"/>
        <v>30</v>
      </c>
      <c r="K35" s="322">
        <f t="shared" si="12"/>
        <v>55</v>
      </c>
      <c r="L35" s="322">
        <f t="shared" si="13"/>
        <v>14</v>
      </c>
      <c r="M35" s="322">
        <f t="shared" si="14"/>
        <v>18</v>
      </c>
      <c r="N35" s="322">
        <f t="shared" si="15"/>
        <v>0</v>
      </c>
      <c r="O35" s="322">
        <f t="shared" si="16"/>
        <v>0</v>
      </c>
      <c r="P35" s="322">
        <f t="shared" si="17"/>
        <v>0</v>
      </c>
      <c r="Q35" s="322">
        <f t="shared" si="18"/>
        <v>0</v>
      </c>
      <c r="R35" s="322">
        <f t="shared" si="19"/>
        <v>0</v>
      </c>
      <c r="S35" s="322">
        <f t="shared" si="20"/>
        <v>0</v>
      </c>
      <c r="T35" s="322">
        <f t="shared" si="21"/>
        <v>0</v>
      </c>
      <c r="U35" s="322">
        <f t="shared" si="22"/>
        <v>0</v>
      </c>
      <c r="V35" s="322">
        <f t="shared" si="23"/>
        <v>0</v>
      </c>
      <c r="W35" s="322">
        <f t="shared" si="24"/>
        <v>0</v>
      </c>
      <c r="X35" s="322">
        <f t="shared" si="25"/>
        <v>0</v>
      </c>
      <c r="Y35" s="322">
        <f t="shared" si="26"/>
        <v>0</v>
      </c>
      <c r="Z35" s="322">
        <f t="shared" si="27"/>
        <v>0</v>
      </c>
      <c r="AA35" s="322">
        <f t="shared" si="28"/>
        <v>0</v>
      </c>
      <c r="AB35" s="322">
        <f t="shared" si="29"/>
        <v>0</v>
      </c>
      <c r="AC35" s="415">
        <f t="shared" si="7"/>
        <v>229</v>
      </c>
      <c r="AD35" s="421"/>
    </row>
    <row r="36" spans="1:31" x14ac:dyDescent="0.2">
      <c r="A36" s="322" t="str">
        <f>+EST_ITM!A47</f>
        <v>Feb-Jun 2001</v>
      </c>
      <c r="B36" s="322">
        <f t="shared" ref="B36:B67" si="32">+VLOOKUP(A36,sabana,$B$2,FALSE)</f>
        <v>0</v>
      </c>
      <c r="C36" s="322">
        <f t="shared" ref="C36:C69" si="33">+VLOOKUP(A36,sabana,$C$2,FALSE)</f>
        <v>0</v>
      </c>
      <c r="D36" s="322">
        <f t="shared" ref="D36:D69" si="34">+VLOOKUP(A36,sabana,$D$2,FALSE)</f>
        <v>0</v>
      </c>
      <c r="E36" s="322">
        <f t="shared" ref="E36:E69" si="35">+VLOOKUP(A36,sabana,$E$2,FALSE)</f>
        <v>0</v>
      </c>
      <c r="F36" s="322">
        <f t="shared" si="8"/>
        <v>20</v>
      </c>
      <c r="G36" s="322">
        <f t="shared" si="31"/>
        <v>4</v>
      </c>
      <c r="H36" s="322">
        <f t="shared" si="9"/>
        <v>68</v>
      </c>
      <c r="I36" s="322">
        <f t="shared" si="10"/>
        <v>32</v>
      </c>
      <c r="J36" s="322">
        <f t="shared" si="11"/>
        <v>19</v>
      </c>
      <c r="K36" s="322">
        <f t="shared" si="12"/>
        <v>25</v>
      </c>
      <c r="L36" s="322">
        <f t="shared" si="13"/>
        <v>27</v>
      </c>
      <c r="M36" s="322">
        <f t="shared" si="14"/>
        <v>8</v>
      </c>
      <c r="N36" s="322">
        <f t="shared" si="15"/>
        <v>0</v>
      </c>
      <c r="O36" s="322">
        <f t="shared" si="16"/>
        <v>0</v>
      </c>
      <c r="P36" s="322">
        <f t="shared" si="17"/>
        <v>0</v>
      </c>
      <c r="Q36" s="322">
        <f t="shared" si="18"/>
        <v>0</v>
      </c>
      <c r="R36" s="322">
        <f t="shared" si="19"/>
        <v>0</v>
      </c>
      <c r="S36" s="322">
        <f t="shared" si="20"/>
        <v>0</v>
      </c>
      <c r="T36" s="322">
        <f t="shared" si="21"/>
        <v>0</v>
      </c>
      <c r="U36" s="322">
        <f t="shared" si="22"/>
        <v>0</v>
      </c>
      <c r="V36" s="322">
        <f t="shared" si="23"/>
        <v>0</v>
      </c>
      <c r="W36" s="322">
        <f t="shared" si="24"/>
        <v>0</v>
      </c>
      <c r="X36" s="322">
        <f t="shared" si="25"/>
        <v>0</v>
      </c>
      <c r="Y36" s="322">
        <f t="shared" si="26"/>
        <v>0</v>
      </c>
      <c r="Z36" s="322">
        <f t="shared" si="27"/>
        <v>0</v>
      </c>
      <c r="AA36" s="322">
        <f t="shared" si="28"/>
        <v>0</v>
      </c>
      <c r="AB36" s="322">
        <f t="shared" si="29"/>
        <v>0</v>
      </c>
      <c r="AC36" s="415">
        <f t="shared" ref="AC36:AC67" si="36">SUM(B36:AB36)</f>
        <v>203</v>
      </c>
      <c r="AD36" s="421"/>
    </row>
    <row r="37" spans="1:31" x14ac:dyDescent="0.2">
      <c r="A37" s="322" t="str">
        <f>+EST_ITM!A48</f>
        <v>Ago-Dic 2001</v>
      </c>
      <c r="B37" s="322">
        <f t="shared" si="32"/>
        <v>0</v>
      </c>
      <c r="C37" s="322">
        <f t="shared" si="33"/>
        <v>0</v>
      </c>
      <c r="D37" s="322">
        <f t="shared" si="34"/>
        <v>0</v>
      </c>
      <c r="E37" s="322">
        <f t="shared" si="35"/>
        <v>0</v>
      </c>
      <c r="F37" s="322">
        <f t="shared" si="8"/>
        <v>21</v>
      </c>
      <c r="G37" s="322">
        <f t="shared" si="31"/>
        <v>3</v>
      </c>
      <c r="H37" s="322">
        <f t="shared" si="9"/>
        <v>64</v>
      </c>
      <c r="I37" s="322">
        <f t="shared" si="10"/>
        <v>27</v>
      </c>
      <c r="J37" s="322">
        <f t="shared" si="11"/>
        <v>14</v>
      </c>
      <c r="K37" s="322">
        <f t="shared" si="12"/>
        <v>24</v>
      </c>
      <c r="L37" s="322">
        <f t="shared" si="13"/>
        <v>15</v>
      </c>
      <c r="M37" s="322">
        <f t="shared" si="14"/>
        <v>13</v>
      </c>
      <c r="N37" s="322">
        <f t="shared" si="15"/>
        <v>0</v>
      </c>
      <c r="O37" s="322">
        <f t="shared" si="16"/>
        <v>0</v>
      </c>
      <c r="P37" s="322">
        <f t="shared" si="17"/>
        <v>0</v>
      </c>
      <c r="Q37" s="322">
        <f t="shared" si="18"/>
        <v>0</v>
      </c>
      <c r="R37" s="322">
        <f t="shared" si="19"/>
        <v>0</v>
      </c>
      <c r="S37" s="322">
        <f t="shared" si="20"/>
        <v>0</v>
      </c>
      <c r="T37" s="322">
        <f t="shared" si="21"/>
        <v>0</v>
      </c>
      <c r="U37" s="322">
        <f t="shared" si="22"/>
        <v>0</v>
      </c>
      <c r="V37" s="322">
        <f t="shared" si="23"/>
        <v>0</v>
      </c>
      <c r="W37" s="322">
        <f t="shared" si="24"/>
        <v>0</v>
      </c>
      <c r="X37" s="322">
        <f t="shared" si="25"/>
        <v>0</v>
      </c>
      <c r="Y37" s="322">
        <f t="shared" si="26"/>
        <v>0</v>
      </c>
      <c r="Z37" s="322">
        <f t="shared" si="27"/>
        <v>0</v>
      </c>
      <c r="AA37" s="322">
        <f t="shared" si="28"/>
        <v>0</v>
      </c>
      <c r="AB37" s="322">
        <f t="shared" si="29"/>
        <v>0</v>
      </c>
      <c r="AC37" s="415">
        <f t="shared" si="36"/>
        <v>181</v>
      </c>
      <c r="AD37" s="421"/>
    </row>
    <row r="38" spans="1:31" x14ac:dyDescent="0.2">
      <c r="A38" s="322" t="str">
        <f>+EST_ITM!A49</f>
        <v>Feb-Jun 2002</v>
      </c>
      <c r="B38" s="322">
        <f t="shared" si="32"/>
        <v>0</v>
      </c>
      <c r="C38" s="322">
        <f t="shared" si="33"/>
        <v>0</v>
      </c>
      <c r="D38" s="322">
        <f t="shared" si="34"/>
        <v>0</v>
      </c>
      <c r="E38" s="322">
        <f t="shared" si="35"/>
        <v>0</v>
      </c>
      <c r="F38" s="322">
        <f t="shared" si="8"/>
        <v>11</v>
      </c>
      <c r="G38" s="322">
        <f t="shared" si="31"/>
        <v>3</v>
      </c>
      <c r="H38" s="322">
        <f t="shared" si="9"/>
        <v>62</v>
      </c>
      <c r="I38" s="322">
        <f t="shared" si="10"/>
        <v>17</v>
      </c>
      <c r="J38" s="322">
        <f t="shared" si="11"/>
        <v>18</v>
      </c>
      <c r="K38" s="322">
        <f t="shared" si="12"/>
        <v>33</v>
      </c>
      <c r="L38" s="322">
        <f t="shared" si="13"/>
        <v>14</v>
      </c>
      <c r="M38" s="322">
        <f t="shared" si="14"/>
        <v>13</v>
      </c>
      <c r="N38" s="322">
        <f t="shared" si="15"/>
        <v>0</v>
      </c>
      <c r="O38" s="322">
        <f t="shared" si="16"/>
        <v>0</v>
      </c>
      <c r="P38" s="322">
        <f t="shared" si="17"/>
        <v>0</v>
      </c>
      <c r="Q38" s="322">
        <f t="shared" si="18"/>
        <v>0</v>
      </c>
      <c r="R38" s="322">
        <f t="shared" si="19"/>
        <v>0</v>
      </c>
      <c r="S38" s="322">
        <f t="shared" si="20"/>
        <v>0</v>
      </c>
      <c r="T38" s="322">
        <f t="shared" si="21"/>
        <v>0</v>
      </c>
      <c r="U38" s="322">
        <f t="shared" si="22"/>
        <v>0</v>
      </c>
      <c r="V38" s="322">
        <f t="shared" si="23"/>
        <v>0</v>
      </c>
      <c r="W38" s="322">
        <f t="shared" si="24"/>
        <v>0</v>
      </c>
      <c r="X38" s="322">
        <f t="shared" si="25"/>
        <v>0</v>
      </c>
      <c r="Y38" s="322">
        <f t="shared" si="26"/>
        <v>0</v>
      </c>
      <c r="Z38" s="322">
        <f t="shared" si="27"/>
        <v>0</v>
      </c>
      <c r="AA38" s="322">
        <f t="shared" si="28"/>
        <v>0</v>
      </c>
      <c r="AB38" s="322">
        <f t="shared" si="29"/>
        <v>0</v>
      </c>
      <c r="AC38" s="415">
        <f t="shared" si="36"/>
        <v>171</v>
      </c>
      <c r="AD38" s="421"/>
    </row>
    <row r="39" spans="1:31" ht="13.5" thickBot="1" x14ac:dyDescent="0.25">
      <c r="A39" s="322" t="str">
        <f>+EST_ITM!A50</f>
        <v>Ago-Dic 2002</v>
      </c>
      <c r="B39" s="322">
        <f t="shared" si="32"/>
        <v>0</v>
      </c>
      <c r="C39" s="322">
        <f t="shared" si="33"/>
        <v>0</v>
      </c>
      <c r="D39" s="322">
        <f t="shared" si="34"/>
        <v>0</v>
      </c>
      <c r="E39" s="322">
        <f t="shared" si="35"/>
        <v>0</v>
      </c>
      <c r="F39" s="322">
        <f t="shared" ref="F39:F69" si="37">+VLOOKUP(A39,sabana,$F$2,FALSE)</f>
        <v>14</v>
      </c>
      <c r="G39" s="322">
        <f t="shared" si="31"/>
        <v>9</v>
      </c>
      <c r="H39" s="322">
        <f t="shared" ref="H39:H69" si="38">+VLOOKUP(A39,sabana,H$2,FALSE)</f>
        <v>100</v>
      </c>
      <c r="I39" s="322">
        <f t="shared" ref="I39:I69" si="39">+VLOOKUP(A39,sabana,I$2,FALSE)</f>
        <v>18</v>
      </c>
      <c r="J39" s="322">
        <f t="shared" ref="J39:J69" si="40">+VLOOKUP(A39,sabana,J$2,FALSE)</f>
        <v>25</v>
      </c>
      <c r="K39" s="322">
        <f t="shared" ref="K39:K69" si="41">+VLOOKUP(A39,sabana,K$2,FALSE)</f>
        <v>15</v>
      </c>
      <c r="L39" s="322">
        <f t="shared" ref="L39:L69" si="42">+VLOOKUP(A39,sabana,L$2,FALSE)</f>
        <v>13</v>
      </c>
      <c r="M39" s="322">
        <f t="shared" ref="M39:M69" si="43">+VLOOKUP(A39,sabana,M$2,FALSE)</f>
        <v>21</v>
      </c>
      <c r="N39" s="322">
        <f t="shared" ref="N39:N69" si="44">+VLOOKUP(A39,sabana,N$2,FALSE)</f>
        <v>0</v>
      </c>
      <c r="O39" s="322">
        <f t="shared" ref="O39:O69" si="45">+VLOOKUP(A39,sabana,O$2,FALSE)</f>
        <v>0</v>
      </c>
      <c r="P39" s="322">
        <f t="shared" ref="P39:P69" si="46">+VLOOKUP(A39,sabana,P$2,FALSE)</f>
        <v>0</v>
      </c>
      <c r="Q39" s="322">
        <f t="shared" ref="Q39:Q69" si="47">+VLOOKUP(A39,sabana,Q$2,FALSE)</f>
        <v>0</v>
      </c>
      <c r="R39" s="322">
        <f t="shared" ref="R39:R69" si="48">+VLOOKUP(A39,sabana,R$2,FALSE)</f>
        <v>0</v>
      </c>
      <c r="S39" s="322">
        <f t="shared" ref="S39:S69" si="49">+VLOOKUP(A39,sabana,S$2,FALSE)</f>
        <v>0</v>
      </c>
      <c r="T39" s="322">
        <f t="shared" ref="T39:T69" si="50">+VLOOKUP(A39,sabana,T$2,FALSE)</f>
        <v>0</v>
      </c>
      <c r="U39" s="322">
        <f t="shared" ref="U39:U69" si="51">+VLOOKUP(A39,sabana,U$2,FALSE)</f>
        <v>0</v>
      </c>
      <c r="V39" s="322">
        <f t="shared" ref="V39:V69" si="52">+VLOOKUP(A39,sabana,V$2,FALSE)</f>
        <v>0</v>
      </c>
      <c r="W39" s="322">
        <f t="shared" ref="W39:W69" si="53">+VLOOKUP(A39,sabana,W$2,FALSE)</f>
        <v>0</v>
      </c>
      <c r="X39" s="322">
        <f t="shared" ref="X39:X69" si="54">+VLOOKUP(A39,sabana,X$2,FALSE)</f>
        <v>0</v>
      </c>
      <c r="Y39" s="322">
        <f t="shared" ref="Y39:Y69" si="55">+VLOOKUP(A39,sabana,Y$2,FALSE)</f>
        <v>0</v>
      </c>
      <c r="Z39" s="322">
        <f t="shared" ref="Z39:Z69" si="56">+VLOOKUP(A39,sabana,Z$2,FALSE)</f>
        <v>0</v>
      </c>
      <c r="AA39" s="322">
        <f t="shared" ref="AA39:AA69" si="57">+VLOOKUP(A39,sabana,AA$2,FALSE)</f>
        <v>0</v>
      </c>
      <c r="AB39" s="322">
        <f t="shared" ref="AB39:AB69" si="58">+VLOOKUP(A39,sabana,AB$2,FALSE)</f>
        <v>0</v>
      </c>
      <c r="AC39" s="415">
        <f t="shared" si="36"/>
        <v>215</v>
      </c>
      <c r="AD39" s="421"/>
    </row>
    <row r="40" spans="1:31" ht="13.5" thickTop="1" x14ac:dyDescent="0.2">
      <c r="A40" s="322" t="str">
        <f>+EST_ITM!A51</f>
        <v>Feb-Jun 2003</v>
      </c>
      <c r="B40" s="322">
        <f t="shared" si="32"/>
        <v>0</v>
      </c>
      <c r="C40" s="322">
        <f t="shared" si="33"/>
        <v>0</v>
      </c>
      <c r="D40" s="322">
        <f t="shared" si="34"/>
        <v>0</v>
      </c>
      <c r="E40" s="322">
        <f t="shared" si="35"/>
        <v>0</v>
      </c>
      <c r="F40" s="322">
        <f t="shared" si="37"/>
        <v>12</v>
      </c>
      <c r="G40" s="322">
        <f t="shared" ref="G40:G69" si="59">+VLOOKUP(A40,sabana,$G$2,FALSE)</f>
        <v>12</v>
      </c>
      <c r="H40" s="322">
        <f t="shared" si="38"/>
        <v>95</v>
      </c>
      <c r="I40" s="322">
        <f t="shared" si="39"/>
        <v>24</v>
      </c>
      <c r="J40" s="322">
        <f t="shared" si="40"/>
        <v>20</v>
      </c>
      <c r="K40" s="322">
        <f t="shared" si="41"/>
        <v>43</v>
      </c>
      <c r="L40" s="322">
        <f t="shared" si="42"/>
        <v>20</v>
      </c>
      <c r="M40" s="322">
        <f t="shared" si="43"/>
        <v>8</v>
      </c>
      <c r="N40" s="322">
        <f t="shared" si="44"/>
        <v>0</v>
      </c>
      <c r="O40" s="322">
        <f t="shared" si="45"/>
        <v>0</v>
      </c>
      <c r="P40" s="322">
        <f t="shared" si="46"/>
        <v>0</v>
      </c>
      <c r="Q40" s="322">
        <f t="shared" si="47"/>
        <v>0</v>
      </c>
      <c r="R40" s="322">
        <f t="shared" si="48"/>
        <v>0</v>
      </c>
      <c r="S40" s="322">
        <f t="shared" si="49"/>
        <v>0</v>
      </c>
      <c r="T40" s="322">
        <f t="shared" si="50"/>
        <v>0</v>
      </c>
      <c r="U40" s="322">
        <f t="shared" si="51"/>
        <v>0</v>
      </c>
      <c r="V40" s="322">
        <f t="shared" si="52"/>
        <v>0</v>
      </c>
      <c r="W40" s="322">
        <f t="shared" si="53"/>
        <v>0</v>
      </c>
      <c r="X40" s="322">
        <f t="shared" si="54"/>
        <v>0</v>
      </c>
      <c r="Y40" s="322">
        <f t="shared" si="55"/>
        <v>0</v>
      </c>
      <c r="Z40" s="322">
        <f t="shared" si="56"/>
        <v>0</v>
      </c>
      <c r="AA40" s="322">
        <f t="shared" si="57"/>
        <v>0</v>
      </c>
      <c r="AB40" s="322">
        <f t="shared" si="58"/>
        <v>0</v>
      </c>
      <c r="AC40" s="415">
        <f t="shared" si="36"/>
        <v>234</v>
      </c>
      <c r="AD40" s="421"/>
      <c r="AE40" s="14"/>
    </row>
    <row r="41" spans="1:31" x14ac:dyDescent="0.2">
      <c r="A41" s="322" t="str">
        <f>+EST_ITM!A52</f>
        <v>Ago-Dic 2003</v>
      </c>
      <c r="B41" s="322">
        <f t="shared" si="32"/>
        <v>0</v>
      </c>
      <c r="C41" s="322">
        <f t="shared" si="33"/>
        <v>0</v>
      </c>
      <c r="D41" s="322">
        <f t="shared" si="34"/>
        <v>0</v>
      </c>
      <c r="E41" s="322">
        <f t="shared" si="35"/>
        <v>0</v>
      </c>
      <c r="F41" s="322">
        <f t="shared" si="37"/>
        <v>13</v>
      </c>
      <c r="G41" s="322">
        <f t="shared" si="59"/>
        <v>12</v>
      </c>
      <c r="H41" s="322">
        <f t="shared" si="38"/>
        <v>72</v>
      </c>
      <c r="I41" s="322">
        <f t="shared" si="39"/>
        <v>14</v>
      </c>
      <c r="J41" s="322">
        <f t="shared" si="40"/>
        <v>11</v>
      </c>
      <c r="K41" s="322">
        <f t="shared" si="41"/>
        <v>39</v>
      </c>
      <c r="L41" s="322">
        <f t="shared" si="42"/>
        <v>14</v>
      </c>
      <c r="M41" s="322">
        <f t="shared" si="43"/>
        <v>14</v>
      </c>
      <c r="N41" s="322">
        <f t="shared" si="44"/>
        <v>0</v>
      </c>
      <c r="O41" s="322">
        <f t="shared" si="45"/>
        <v>0</v>
      </c>
      <c r="P41" s="322">
        <f t="shared" si="46"/>
        <v>0</v>
      </c>
      <c r="Q41" s="322">
        <f t="shared" si="47"/>
        <v>0</v>
      </c>
      <c r="R41" s="322">
        <f t="shared" si="48"/>
        <v>0</v>
      </c>
      <c r="S41" s="322">
        <f t="shared" si="49"/>
        <v>0</v>
      </c>
      <c r="T41" s="322">
        <f t="shared" si="50"/>
        <v>0</v>
      </c>
      <c r="U41" s="322">
        <f t="shared" si="51"/>
        <v>0</v>
      </c>
      <c r="V41" s="322">
        <f t="shared" si="52"/>
        <v>0</v>
      </c>
      <c r="W41" s="322">
        <f t="shared" si="53"/>
        <v>0</v>
      </c>
      <c r="X41" s="322">
        <f t="shared" si="54"/>
        <v>0</v>
      </c>
      <c r="Y41" s="322">
        <f t="shared" si="55"/>
        <v>0</v>
      </c>
      <c r="Z41" s="322">
        <f t="shared" si="56"/>
        <v>0</v>
      </c>
      <c r="AA41" s="322">
        <f t="shared" si="57"/>
        <v>0</v>
      </c>
      <c r="AB41" s="322">
        <f t="shared" si="58"/>
        <v>0</v>
      </c>
      <c r="AC41" s="415">
        <f t="shared" si="36"/>
        <v>189</v>
      </c>
      <c r="AD41" s="421"/>
    </row>
    <row r="42" spans="1:31" x14ac:dyDescent="0.2">
      <c r="A42" s="322" t="str">
        <f>+EST_ITM!A53</f>
        <v>Feb-Jun 2004</v>
      </c>
      <c r="B42" s="322">
        <f t="shared" si="32"/>
        <v>0</v>
      </c>
      <c r="C42" s="322">
        <f t="shared" si="33"/>
        <v>0</v>
      </c>
      <c r="D42" s="322">
        <f t="shared" si="34"/>
        <v>0</v>
      </c>
      <c r="E42" s="322">
        <f t="shared" si="35"/>
        <v>0</v>
      </c>
      <c r="F42" s="322">
        <f t="shared" si="37"/>
        <v>19</v>
      </c>
      <c r="G42" s="322">
        <f t="shared" si="59"/>
        <v>10</v>
      </c>
      <c r="H42" s="322">
        <f t="shared" si="38"/>
        <v>51</v>
      </c>
      <c r="I42" s="322">
        <f t="shared" si="39"/>
        <v>35</v>
      </c>
      <c r="J42" s="322">
        <f t="shared" si="40"/>
        <v>14</v>
      </c>
      <c r="K42" s="322">
        <f t="shared" si="41"/>
        <v>16</v>
      </c>
      <c r="L42" s="322">
        <f t="shared" si="42"/>
        <v>23</v>
      </c>
      <c r="M42" s="322">
        <f t="shared" si="43"/>
        <v>20</v>
      </c>
      <c r="N42" s="322">
        <f t="shared" si="44"/>
        <v>0</v>
      </c>
      <c r="O42" s="322">
        <f t="shared" si="45"/>
        <v>0</v>
      </c>
      <c r="P42" s="322">
        <f t="shared" si="46"/>
        <v>0</v>
      </c>
      <c r="Q42" s="322">
        <f t="shared" si="47"/>
        <v>0</v>
      </c>
      <c r="R42" s="322">
        <f t="shared" si="48"/>
        <v>0</v>
      </c>
      <c r="S42" s="322">
        <f t="shared" si="49"/>
        <v>0</v>
      </c>
      <c r="T42" s="322">
        <f t="shared" si="50"/>
        <v>0</v>
      </c>
      <c r="U42" s="322">
        <f t="shared" si="51"/>
        <v>0</v>
      </c>
      <c r="V42" s="322">
        <f t="shared" si="52"/>
        <v>0</v>
      </c>
      <c r="W42" s="322">
        <f t="shared" si="53"/>
        <v>0</v>
      </c>
      <c r="X42" s="322">
        <f t="shared" si="54"/>
        <v>0</v>
      </c>
      <c r="Y42" s="322">
        <f t="shared" si="55"/>
        <v>0</v>
      </c>
      <c r="Z42" s="322">
        <f t="shared" si="56"/>
        <v>0</v>
      </c>
      <c r="AA42" s="322">
        <f t="shared" si="57"/>
        <v>0</v>
      </c>
      <c r="AB42" s="322">
        <f t="shared" si="58"/>
        <v>0</v>
      </c>
      <c r="AC42" s="415">
        <f t="shared" si="36"/>
        <v>188</v>
      </c>
      <c r="AD42" s="421"/>
    </row>
    <row r="43" spans="1:31" x14ac:dyDescent="0.2">
      <c r="A43" s="322" t="str">
        <f>+EST_ITM!A54</f>
        <v>Ago-Dic 2004</v>
      </c>
      <c r="B43" s="322">
        <f t="shared" si="32"/>
        <v>0</v>
      </c>
      <c r="C43" s="322">
        <f t="shared" si="33"/>
        <v>0</v>
      </c>
      <c r="D43" s="322">
        <f t="shared" si="34"/>
        <v>0</v>
      </c>
      <c r="E43" s="322">
        <f t="shared" si="35"/>
        <v>0</v>
      </c>
      <c r="F43" s="322">
        <f t="shared" si="37"/>
        <v>18</v>
      </c>
      <c r="G43" s="322">
        <f t="shared" si="59"/>
        <v>3</v>
      </c>
      <c r="H43" s="322">
        <f t="shared" si="38"/>
        <v>89</v>
      </c>
      <c r="I43" s="322">
        <f t="shared" si="39"/>
        <v>36</v>
      </c>
      <c r="J43" s="322">
        <f t="shared" si="40"/>
        <v>14</v>
      </c>
      <c r="K43" s="322">
        <f t="shared" si="41"/>
        <v>42</v>
      </c>
      <c r="L43" s="322">
        <f t="shared" si="42"/>
        <v>21</v>
      </c>
      <c r="M43" s="322">
        <f t="shared" si="43"/>
        <v>25</v>
      </c>
      <c r="N43" s="322">
        <f t="shared" si="44"/>
        <v>0</v>
      </c>
      <c r="O43" s="322">
        <f t="shared" si="45"/>
        <v>0</v>
      </c>
      <c r="P43" s="322">
        <f t="shared" si="46"/>
        <v>0</v>
      </c>
      <c r="Q43" s="322">
        <f t="shared" si="47"/>
        <v>0</v>
      </c>
      <c r="R43" s="322">
        <f t="shared" si="48"/>
        <v>0</v>
      </c>
      <c r="S43" s="322">
        <f t="shared" si="49"/>
        <v>0</v>
      </c>
      <c r="T43" s="322">
        <f t="shared" si="50"/>
        <v>0</v>
      </c>
      <c r="U43" s="322">
        <f t="shared" si="51"/>
        <v>0</v>
      </c>
      <c r="V43" s="322">
        <f t="shared" si="52"/>
        <v>0</v>
      </c>
      <c r="W43" s="322">
        <f t="shared" si="53"/>
        <v>0</v>
      </c>
      <c r="X43" s="322">
        <f t="shared" si="54"/>
        <v>0</v>
      </c>
      <c r="Y43" s="322">
        <f t="shared" si="55"/>
        <v>0</v>
      </c>
      <c r="Z43" s="322">
        <f t="shared" si="56"/>
        <v>0</v>
      </c>
      <c r="AA43" s="322">
        <f t="shared" si="57"/>
        <v>0</v>
      </c>
      <c r="AB43" s="322">
        <f t="shared" si="58"/>
        <v>0</v>
      </c>
      <c r="AC43" s="415">
        <f t="shared" si="36"/>
        <v>248</v>
      </c>
      <c r="AD43" s="421"/>
    </row>
    <row r="44" spans="1:31" x14ac:dyDescent="0.2">
      <c r="A44" s="322" t="str">
        <f>+EST_ITM!A55</f>
        <v>Feb-Jun 2005</v>
      </c>
      <c r="B44" s="322">
        <f t="shared" si="32"/>
        <v>0</v>
      </c>
      <c r="C44" s="322">
        <f t="shared" si="33"/>
        <v>0</v>
      </c>
      <c r="D44" s="322">
        <f t="shared" si="34"/>
        <v>0</v>
      </c>
      <c r="E44" s="322">
        <f t="shared" si="35"/>
        <v>0</v>
      </c>
      <c r="F44" s="322">
        <f t="shared" si="37"/>
        <v>21</v>
      </c>
      <c r="G44" s="322">
        <f t="shared" si="59"/>
        <v>7</v>
      </c>
      <c r="H44" s="322">
        <f t="shared" si="38"/>
        <v>59</v>
      </c>
      <c r="I44" s="322">
        <f t="shared" si="39"/>
        <v>19</v>
      </c>
      <c r="J44" s="322">
        <f t="shared" si="40"/>
        <v>13</v>
      </c>
      <c r="K44" s="322">
        <f t="shared" si="41"/>
        <v>25</v>
      </c>
      <c r="L44" s="322">
        <f t="shared" si="42"/>
        <v>20</v>
      </c>
      <c r="M44" s="322">
        <f t="shared" si="43"/>
        <v>10</v>
      </c>
      <c r="N44" s="322">
        <f t="shared" si="44"/>
        <v>0</v>
      </c>
      <c r="O44" s="322">
        <f t="shared" si="45"/>
        <v>0</v>
      </c>
      <c r="P44" s="322">
        <f t="shared" si="46"/>
        <v>0</v>
      </c>
      <c r="Q44" s="322">
        <f t="shared" si="47"/>
        <v>0</v>
      </c>
      <c r="R44" s="322">
        <f t="shared" si="48"/>
        <v>0</v>
      </c>
      <c r="S44" s="322">
        <f t="shared" si="49"/>
        <v>0</v>
      </c>
      <c r="T44" s="322">
        <f t="shared" si="50"/>
        <v>0</v>
      </c>
      <c r="U44" s="322">
        <f t="shared" si="51"/>
        <v>0</v>
      </c>
      <c r="V44" s="322">
        <f t="shared" si="52"/>
        <v>0</v>
      </c>
      <c r="W44" s="322">
        <f t="shared" si="53"/>
        <v>0</v>
      </c>
      <c r="X44" s="322">
        <f t="shared" si="54"/>
        <v>0</v>
      </c>
      <c r="Y44" s="322">
        <f t="shared" si="55"/>
        <v>0</v>
      </c>
      <c r="Z44" s="322">
        <f t="shared" si="56"/>
        <v>0</v>
      </c>
      <c r="AA44" s="322">
        <f t="shared" si="57"/>
        <v>0</v>
      </c>
      <c r="AB44" s="322">
        <f t="shared" si="58"/>
        <v>0</v>
      </c>
      <c r="AC44" s="415">
        <f t="shared" si="36"/>
        <v>174</v>
      </c>
      <c r="AD44" s="421"/>
    </row>
    <row r="45" spans="1:31" x14ac:dyDescent="0.2">
      <c r="A45" s="322" t="str">
        <f>+EST_ITM!A56</f>
        <v>Ago-Dic 2005</v>
      </c>
      <c r="B45" s="322">
        <f t="shared" si="32"/>
        <v>0</v>
      </c>
      <c r="C45" s="322">
        <f t="shared" si="33"/>
        <v>0</v>
      </c>
      <c r="D45" s="322">
        <f t="shared" si="34"/>
        <v>0</v>
      </c>
      <c r="E45" s="322">
        <f t="shared" si="35"/>
        <v>0</v>
      </c>
      <c r="F45" s="322">
        <f t="shared" si="37"/>
        <v>37</v>
      </c>
      <c r="G45" s="322">
        <f t="shared" si="59"/>
        <v>5</v>
      </c>
      <c r="H45" s="322">
        <f t="shared" si="38"/>
        <v>94</v>
      </c>
      <c r="I45" s="322">
        <f t="shared" si="39"/>
        <v>30</v>
      </c>
      <c r="J45" s="322">
        <f t="shared" si="40"/>
        <v>15</v>
      </c>
      <c r="K45" s="322">
        <f t="shared" si="41"/>
        <v>48</v>
      </c>
      <c r="L45" s="322">
        <f t="shared" si="42"/>
        <v>34</v>
      </c>
      <c r="M45" s="322">
        <f t="shared" si="43"/>
        <v>19</v>
      </c>
      <c r="N45" s="322">
        <f t="shared" si="44"/>
        <v>0</v>
      </c>
      <c r="O45" s="322">
        <f t="shared" si="45"/>
        <v>0</v>
      </c>
      <c r="P45" s="322">
        <f t="shared" si="46"/>
        <v>0</v>
      </c>
      <c r="Q45" s="322">
        <f t="shared" si="47"/>
        <v>0</v>
      </c>
      <c r="R45" s="322">
        <f t="shared" si="48"/>
        <v>0</v>
      </c>
      <c r="S45" s="322">
        <f t="shared" si="49"/>
        <v>0</v>
      </c>
      <c r="T45" s="322">
        <f t="shared" si="50"/>
        <v>0</v>
      </c>
      <c r="U45" s="322">
        <f t="shared" si="51"/>
        <v>0</v>
      </c>
      <c r="V45" s="322">
        <f t="shared" si="52"/>
        <v>0</v>
      </c>
      <c r="W45" s="322">
        <f t="shared" si="53"/>
        <v>0</v>
      </c>
      <c r="X45" s="322">
        <f t="shared" si="54"/>
        <v>0</v>
      </c>
      <c r="Y45" s="322">
        <f t="shared" si="55"/>
        <v>0</v>
      </c>
      <c r="Z45" s="322">
        <f t="shared" si="56"/>
        <v>0</v>
      </c>
      <c r="AA45" s="322">
        <f t="shared" si="57"/>
        <v>0</v>
      </c>
      <c r="AB45" s="322">
        <f t="shared" si="58"/>
        <v>0</v>
      </c>
      <c r="AC45" s="415">
        <f t="shared" si="36"/>
        <v>282</v>
      </c>
      <c r="AD45" s="421"/>
    </row>
    <row r="46" spans="1:31" x14ac:dyDescent="0.2">
      <c r="A46" s="322" t="str">
        <f>+EST_ITM!A57</f>
        <v>Feb-Jun 2006</v>
      </c>
      <c r="B46" s="322">
        <f t="shared" si="32"/>
        <v>0</v>
      </c>
      <c r="C46" s="322">
        <f t="shared" si="33"/>
        <v>0</v>
      </c>
      <c r="D46" s="322">
        <f t="shared" si="34"/>
        <v>0</v>
      </c>
      <c r="E46" s="322">
        <f t="shared" si="35"/>
        <v>0</v>
      </c>
      <c r="F46" s="322">
        <f t="shared" si="37"/>
        <v>19</v>
      </c>
      <c r="G46" s="322">
        <f t="shared" si="59"/>
        <v>7</v>
      </c>
      <c r="H46" s="322">
        <f t="shared" si="38"/>
        <v>62</v>
      </c>
      <c r="I46" s="322">
        <f t="shared" si="39"/>
        <v>20</v>
      </c>
      <c r="J46" s="322">
        <f t="shared" si="40"/>
        <v>9</v>
      </c>
      <c r="K46" s="322">
        <f t="shared" si="41"/>
        <v>22</v>
      </c>
      <c r="L46" s="322">
        <f t="shared" si="42"/>
        <v>17</v>
      </c>
      <c r="M46" s="322">
        <f t="shared" si="43"/>
        <v>8</v>
      </c>
      <c r="N46" s="322">
        <f t="shared" si="44"/>
        <v>0</v>
      </c>
      <c r="O46" s="322">
        <f t="shared" si="45"/>
        <v>0</v>
      </c>
      <c r="P46" s="322">
        <f t="shared" si="46"/>
        <v>0</v>
      </c>
      <c r="Q46" s="322">
        <f t="shared" si="47"/>
        <v>0</v>
      </c>
      <c r="R46" s="322">
        <f t="shared" si="48"/>
        <v>0</v>
      </c>
      <c r="S46" s="322">
        <f t="shared" si="49"/>
        <v>0</v>
      </c>
      <c r="T46" s="322">
        <f t="shared" si="50"/>
        <v>0</v>
      </c>
      <c r="U46" s="322">
        <f t="shared" si="51"/>
        <v>0</v>
      </c>
      <c r="V46" s="322">
        <f t="shared" si="52"/>
        <v>0</v>
      </c>
      <c r="W46" s="322">
        <f t="shared" si="53"/>
        <v>0</v>
      </c>
      <c r="X46" s="322">
        <f t="shared" si="54"/>
        <v>0</v>
      </c>
      <c r="Y46" s="322">
        <f t="shared" si="55"/>
        <v>0</v>
      </c>
      <c r="Z46" s="322">
        <f t="shared" si="56"/>
        <v>0</v>
      </c>
      <c r="AA46" s="322">
        <f t="shared" si="57"/>
        <v>0</v>
      </c>
      <c r="AB46" s="322">
        <f t="shared" si="58"/>
        <v>0</v>
      </c>
      <c r="AC46" s="415">
        <f t="shared" si="36"/>
        <v>164</v>
      </c>
      <c r="AD46" s="421"/>
    </row>
    <row r="47" spans="1:31" x14ac:dyDescent="0.2">
      <c r="A47" s="322" t="str">
        <f>+EST_ITM!A58</f>
        <v>Ago-Dic 2006</v>
      </c>
      <c r="B47" s="322">
        <f t="shared" si="32"/>
        <v>0</v>
      </c>
      <c r="C47" s="322">
        <f t="shared" si="33"/>
        <v>0</v>
      </c>
      <c r="D47" s="322">
        <f t="shared" si="34"/>
        <v>0</v>
      </c>
      <c r="E47" s="322">
        <f t="shared" si="35"/>
        <v>0</v>
      </c>
      <c r="F47" s="322">
        <f t="shared" si="37"/>
        <v>25</v>
      </c>
      <c r="G47" s="322">
        <f t="shared" si="59"/>
        <v>14</v>
      </c>
      <c r="H47" s="322">
        <f t="shared" si="38"/>
        <v>73</v>
      </c>
      <c r="I47" s="322">
        <f t="shared" si="39"/>
        <v>27</v>
      </c>
      <c r="J47" s="322">
        <f t="shared" si="40"/>
        <v>9</v>
      </c>
      <c r="K47" s="322">
        <f t="shared" si="41"/>
        <v>45</v>
      </c>
      <c r="L47" s="322">
        <f t="shared" si="42"/>
        <v>26</v>
      </c>
      <c r="M47" s="322">
        <f t="shared" si="43"/>
        <v>22</v>
      </c>
      <c r="N47" s="322">
        <f t="shared" si="44"/>
        <v>0</v>
      </c>
      <c r="O47" s="322">
        <f t="shared" si="45"/>
        <v>0</v>
      </c>
      <c r="P47" s="322">
        <f t="shared" si="46"/>
        <v>0</v>
      </c>
      <c r="Q47" s="322">
        <f t="shared" si="47"/>
        <v>0</v>
      </c>
      <c r="R47" s="322">
        <f t="shared" si="48"/>
        <v>0</v>
      </c>
      <c r="S47" s="322">
        <f t="shared" si="49"/>
        <v>0</v>
      </c>
      <c r="T47" s="322">
        <f t="shared" si="50"/>
        <v>0</v>
      </c>
      <c r="U47" s="322">
        <f t="shared" si="51"/>
        <v>0</v>
      </c>
      <c r="V47" s="322">
        <f t="shared" si="52"/>
        <v>0</v>
      </c>
      <c r="W47" s="322">
        <f t="shared" si="53"/>
        <v>0</v>
      </c>
      <c r="X47" s="322">
        <f t="shared" si="54"/>
        <v>0</v>
      </c>
      <c r="Y47" s="322">
        <f t="shared" si="55"/>
        <v>0</v>
      </c>
      <c r="Z47" s="322">
        <f t="shared" si="56"/>
        <v>0</v>
      </c>
      <c r="AA47" s="322">
        <f t="shared" si="57"/>
        <v>0</v>
      </c>
      <c r="AB47" s="322">
        <f t="shared" si="58"/>
        <v>0</v>
      </c>
      <c r="AC47" s="415">
        <f t="shared" si="36"/>
        <v>241</v>
      </c>
      <c r="AD47" s="421"/>
    </row>
    <row r="48" spans="1:31" x14ac:dyDescent="0.2">
      <c r="A48" s="322" t="str">
        <f>+EST_ITM!A59</f>
        <v>Feb-Jun 2007</v>
      </c>
      <c r="B48" s="322">
        <f t="shared" si="32"/>
        <v>0</v>
      </c>
      <c r="C48" s="322">
        <f t="shared" si="33"/>
        <v>0</v>
      </c>
      <c r="D48" s="322">
        <f t="shared" si="34"/>
        <v>0</v>
      </c>
      <c r="E48" s="322">
        <f t="shared" si="35"/>
        <v>0</v>
      </c>
      <c r="F48" s="322">
        <f t="shared" si="37"/>
        <v>22</v>
      </c>
      <c r="G48" s="322">
        <f t="shared" si="59"/>
        <v>9</v>
      </c>
      <c r="H48" s="322">
        <f t="shared" si="38"/>
        <v>58</v>
      </c>
      <c r="I48" s="322">
        <f t="shared" si="39"/>
        <v>21</v>
      </c>
      <c r="J48" s="322">
        <f t="shared" si="40"/>
        <v>11</v>
      </c>
      <c r="K48" s="322">
        <f t="shared" si="41"/>
        <v>29</v>
      </c>
      <c r="L48" s="322">
        <f t="shared" si="42"/>
        <v>24</v>
      </c>
      <c r="M48" s="322">
        <f t="shared" si="43"/>
        <v>23</v>
      </c>
      <c r="N48" s="322">
        <f t="shared" si="44"/>
        <v>0</v>
      </c>
      <c r="O48" s="322">
        <f t="shared" si="45"/>
        <v>0</v>
      </c>
      <c r="P48" s="322">
        <f t="shared" si="46"/>
        <v>0</v>
      </c>
      <c r="Q48" s="322">
        <f t="shared" si="47"/>
        <v>0</v>
      </c>
      <c r="R48" s="322">
        <f t="shared" si="48"/>
        <v>0</v>
      </c>
      <c r="S48" s="322">
        <f t="shared" si="49"/>
        <v>0</v>
      </c>
      <c r="T48" s="322">
        <f t="shared" si="50"/>
        <v>0</v>
      </c>
      <c r="U48" s="322">
        <f t="shared" si="51"/>
        <v>0</v>
      </c>
      <c r="V48" s="322">
        <f t="shared" si="52"/>
        <v>0</v>
      </c>
      <c r="W48" s="322">
        <f t="shared" si="53"/>
        <v>0</v>
      </c>
      <c r="X48" s="322">
        <f t="shared" si="54"/>
        <v>0</v>
      </c>
      <c r="Y48" s="322">
        <f t="shared" si="55"/>
        <v>0</v>
      </c>
      <c r="Z48" s="322">
        <f t="shared" si="56"/>
        <v>0</v>
      </c>
      <c r="AA48" s="322">
        <f t="shared" si="57"/>
        <v>0</v>
      </c>
      <c r="AB48" s="322">
        <f t="shared" si="58"/>
        <v>0</v>
      </c>
      <c r="AC48" s="415">
        <f t="shared" si="36"/>
        <v>197</v>
      </c>
      <c r="AD48" s="421"/>
    </row>
    <row r="49" spans="1:30" x14ac:dyDescent="0.2">
      <c r="A49" s="322" t="str">
        <f>+EST_ITM!A60</f>
        <v>Ago-Dic 2007</v>
      </c>
      <c r="B49" s="322">
        <f t="shared" si="32"/>
        <v>0</v>
      </c>
      <c r="C49" s="322">
        <f t="shared" si="33"/>
        <v>0</v>
      </c>
      <c r="D49" s="322">
        <f t="shared" si="34"/>
        <v>0</v>
      </c>
      <c r="E49" s="322">
        <f t="shared" si="35"/>
        <v>0</v>
      </c>
      <c r="F49" s="322">
        <f t="shared" si="37"/>
        <v>21</v>
      </c>
      <c r="G49" s="322">
        <f t="shared" si="59"/>
        <v>17</v>
      </c>
      <c r="H49" s="322">
        <f t="shared" si="38"/>
        <v>48</v>
      </c>
      <c r="I49" s="322">
        <f t="shared" si="39"/>
        <v>34</v>
      </c>
      <c r="J49" s="322">
        <f t="shared" si="40"/>
        <v>22</v>
      </c>
      <c r="K49" s="322">
        <f t="shared" si="41"/>
        <v>35</v>
      </c>
      <c r="L49" s="322">
        <f t="shared" si="42"/>
        <v>26</v>
      </c>
      <c r="M49" s="322">
        <f t="shared" si="43"/>
        <v>21</v>
      </c>
      <c r="N49" s="322">
        <f t="shared" si="44"/>
        <v>0</v>
      </c>
      <c r="O49" s="322">
        <f t="shared" si="45"/>
        <v>0</v>
      </c>
      <c r="P49" s="322">
        <f t="shared" si="46"/>
        <v>0</v>
      </c>
      <c r="Q49" s="322">
        <f t="shared" si="47"/>
        <v>0</v>
      </c>
      <c r="R49" s="322">
        <f t="shared" si="48"/>
        <v>0</v>
      </c>
      <c r="S49" s="322">
        <f t="shared" si="49"/>
        <v>0</v>
      </c>
      <c r="T49" s="322">
        <f t="shared" si="50"/>
        <v>0</v>
      </c>
      <c r="U49" s="322">
        <f t="shared" si="51"/>
        <v>0</v>
      </c>
      <c r="V49" s="322">
        <f t="shared" si="52"/>
        <v>0</v>
      </c>
      <c r="W49" s="322">
        <f t="shared" si="53"/>
        <v>0</v>
      </c>
      <c r="X49" s="322">
        <f t="shared" si="54"/>
        <v>0</v>
      </c>
      <c r="Y49" s="322">
        <f t="shared" si="55"/>
        <v>0</v>
      </c>
      <c r="Z49" s="322">
        <f t="shared" si="56"/>
        <v>0</v>
      </c>
      <c r="AA49" s="322">
        <f t="shared" si="57"/>
        <v>0</v>
      </c>
      <c r="AB49" s="322">
        <f t="shared" si="58"/>
        <v>0</v>
      </c>
      <c r="AC49" s="415">
        <f t="shared" si="36"/>
        <v>224</v>
      </c>
      <c r="AD49" s="421"/>
    </row>
    <row r="50" spans="1:30" x14ac:dyDescent="0.2">
      <c r="A50" s="322" t="str">
        <f>+EST_ITM!A61</f>
        <v>Feb-Jun 2008</v>
      </c>
      <c r="B50" s="322">
        <f t="shared" si="32"/>
        <v>0</v>
      </c>
      <c r="C50" s="322">
        <f t="shared" si="33"/>
        <v>0</v>
      </c>
      <c r="D50" s="322">
        <f t="shared" si="34"/>
        <v>0</v>
      </c>
      <c r="E50" s="322">
        <f t="shared" si="35"/>
        <v>0</v>
      </c>
      <c r="F50" s="322">
        <f t="shared" si="37"/>
        <v>10</v>
      </c>
      <c r="G50" s="322">
        <f t="shared" si="59"/>
        <v>7</v>
      </c>
      <c r="H50" s="322">
        <f t="shared" si="38"/>
        <v>24</v>
      </c>
      <c r="I50" s="322">
        <f t="shared" si="39"/>
        <v>42</v>
      </c>
      <c r="J50" s="322">
        <f t="shared" si="40"/>
        <v>21</v>
      </c>
      <c r="K50" s="322">
        <f t="shared" si="41"/>
        <v>23</v>
      </c>
      <c r="L50" s="322">
        <f t="shared" si="42"/>
        <v>38</v>
      </c>
      <c r="M50" s="322">
        <f t="shared" si="43"/>
        <v>13</v>
      </c>
      <c r="N50" s="322">
        <f t="shared" si="44"/>
        <v>9</v>
      </c>
      <c r="O50" s="322">
        <f t="shared" si="45"/>
        <v>0</v>
      </c>
      <c r="P50" s="322">
        <f t="shared" si="46"/>
        <v>0</v>
      </c>
      <c r="Q50" s="322">
        <f t="shared" si="47"/>
        <v>0</v>
      </c>
      <c r="R50" s="322">
        <f t="shared" si="48"/>
        <v>0</v>
      </c>
      <c r="S50" s="322">
        <f t="shared" si="49"/>
        <v>0</v>
      </c>
      <c r="T50" s="322">
        <f t="shared" si="50"/>
        <v>0</v>
      </c>
      <c r="U50" s="322">
        <f t="shared" si="51"/>
        <v>0</v>
      </c>
      <c r="V50" s="322">
        <f t="shared" si="52"/>
        <v>0</v>
      </c>
      <c r="W50" s="322">
        <f t="shared" si="53"/>
        <v>0</v>
      </c>
      <c r="X50" s="322">
        <f t="shared" si="54"/>
        <v>0</v>
      </c>
      <c r="Y50" s="322">
        <f t="shared" si="55"/>
        <v>0</v>
      </c>
      <c r="Z50" s="322">
        <f t="shared" si="56"/>
        <v>0</v>
      </c>
      <c r="AA50" s="322">
        <f t="shared" si="57"/>
        <v>0</v>
      </c>
      <c r="AB50" s="322">
        <f t="shared" si="58"/>
        <v>0</v>
      </c>
      <c r="AC50" s="415">
        <f t="shared" si="36"/>
        <v>187</v>
      </c>
      <c r="AD50" s="421"/>
    </row>
    <row r="51" spans="1:30" x14ac:dyDescent="0.2">
      <c r="A51" s="322" t="str">
        <f>+EST_ITM!A62</f>
        <v>Ago-Dic 2008</v>
      </c>
      <c r="B51" s="322">
        <f t="shared" si="32"/>
        <v>0</v>
      </c>
      <c r="C51" s="322">
        <f t="shared" si="33"/>
        <v>0</v>
      </c>
      <c r="D51" s="322">
        <f t="shared" si="34"/>
        <v>0</v>
      </c>
      <c r="E51" s="322">
        <f t="shared" si="35"/>
        <v>0</v>
      </c>
      <c r="F51" s="322">
        <f t="shared" si="37"/>
        <v>23</v>
      </c>
      <c r="G51" s="322">
        <f t="shared" si="59"/>
        <v>17</v>
      </c>
      <c r="H51" s="322">
        <f t="shared" si="38"/>
        <v>36</v>
      </c>
      <c r="I51" s="322">
        <f t="shared" si="39"/>
        <v>23</v>
      </c>
      <c r="J51" s="322">
        <f t="shared" si="40"/>
        <v>6</v>
      </c>
      <c r="K51" s="322">
        <f t="shared" si="41"/>
        <v>30</v>
      </c>
      <c r="L51" s="322">
        <f t="shared" si="42"/>
        <v>23</v>
      </c>
      <c r="M51" s="322">
        <f t="shared" si="43"/>
        <v>29</v>
      </c>
      <c r="N51" s="322">
        <f t="shared" si="44"/>
        <v>24</v>
      </c>
      <c r="O51" s="322">
        <f t="shared" si="45"/>
        <v>0</v>
      </c>
      <c r="P51" s="322">
        <f t="shared" si="46"/>
        <v>0</v>
      </c>
      <c r="Q51" s="322">
        <f t="shared" si="47"/>
        <v>0</v>
      </c>
      <c r="R51" s="322">
        <f t="shared" si="48"/>
        <v>0</v>
      </c>
      <c r="S51" s="322">
        <f t="shared" si="49"/>
        <v>0</v>
      </c>
      <c r="T51" s="322">
        <f t="shared" si="50"/>
        <v>0</v>
      </c>
      <c r="U51" s="322">
        <f t="shared" si="51"/>
        <v>0</v>
      </c>
      <c r="V51" s="322">
        <f t="shared" si="52"/>
        <v>0</v>
      </c>
      <c r="W51" s="322">
        <f t="shared" si="53"/>
        <v>0</v>
      </c>
      <c r="X51" s="322">
        <f t="shared" si="54"/>
        <v>0</v>
      </c>
      <c r="Y51" s="322">
        <f t="shared" si="55"/>
        <v>0</v>
      </c>
      <c r="Z51" s="322">
        <f t="shared" si="56"/>
        <v>0</v>
      </c>
      <c r="AA51" s="322">
        <f t="shared" si="57"/>
        <v>0</v>
      </c>
      <c r="AB51" s="322">
        <f t="shared" si="58"/>
        <v>0</v>
      </c>
      <c r="AC51" s="415">
        <f t="shared" si="36"/>
        <v>211</v>
      </c>
      <c r="AD51" s="421"/>
    </row>
    <row r="52" spans="1:30" x14ac:dyDescent="0.2">
      <c r="A52" s="322" t="str">
        <f>+EST_ITM!A63</f>
        <v>Feb-Jun 2009</v>
      </c>
      <c r="B52" s="322">
        <f t="shared" si="32"/>
        <v>0</v>
      </c>
      <c r="C52" s="322">
        <f t="shared" si="33"/>
        <v>0</v>
      </c>
      <c r="D52" s="322">
        <f t="shared" si="34"/>
        <v>0</v>
      </c>
      <c r="E52" s="322">
        <f t="shared" si="35"/>
        <v>0</v>
      </c>
      <c r="F52" s="322">
        <f t="shared" si="37"/>
        <v>14</v>
      </c>
      <c r="G52" s="322">
        <f t="shared" si="59"/>
        <v>3</v>
      </c>
      <c r="H52" s="322">
        <f t="shared" si="38"/>
        <v>33</v>
      </c>
      <c r="I52" s="322">
        <f t="shared" si="39"/>
        <v>18</v>
      </c>
      <c r="J52" s="322">
        <f t="shared" si="40"/>
        <v>6</v>
      </c>
      <c r="K52" s="322">
        <f t="shared" si="41"/>
        <v>6</v>
      </c>
      <c r="L52" s="322">
        <f t="shared" si="42"/>
        <v>7</v>
      </c>
      <c r="M52" s="322">
        <f t="shared" si="43"/>
        <v>4</v>
      </c>
      <c r="N52" s="322">
        <f t="shared" si="44"/>
        <v>12</v>
      </c>
      <c r="O52" s="322">
        <f t="shared" si="45"/>
        <v>0</v>
      </c>
      <c r="P52" s="322">
        <f t="shared" si="46"/>
        <v>0</v>
      </c>
      <c r="Q52" s="322">
        <f t="shared" si="47"/>
        <v>0</v>
      </c>
      <c r="R52" s="322">
        <f t="shared" si="48"/>
        <v>0</v>
      </c>
      <c r="S52" s="322">
        <f t="shared" si="49"/>
        <v>0</v>
      </c>
      <c r="T52" s="322">
        <f t="shared" si="50"/>
        <v>0</v>
      </c>
      <c r="U52" s="322">
        <f t="shared" si="51"/>
        <v>0</v>
      </c>
      <c r="V52" s="322">
        <f t="shared" si="52"/>
        <v>0</v>
      </c>
      <c r="W52" s="322">
        <f t="shared" si="53"/>
        <v>0</v>
      </c>
      <c r="X52" s="322">
        <f t="shared" si="54"/>
        <v>0</v>
      </c>
      <c r="Y52" s="322">
        <f t="shared" si="55"/>
        <v>0</v>
      </c>
      <c r="Z52" s="322">
        <f t="shared" si="56"/>
        <v>0</v>
      </c>
      <c r="AA52" s="322">
        <f t="shared" si="57"/>
        <v>0</v>
      </c>
      <c r="AB52" s="322">
        <f t="shared" si="58"/>
        <v>0</v>
      </c>
      <c r="AC52" s="415">
        <f t="shared" si="36"/>
        <v>103</v>
      </c>
      <c r="AD52" s="421"/>
    </row>
    <row r="53" spans="1:30" x14ac:dyDescent="0.2">
      <c r="A53" s="322" t="str">
        <f>+EST_ITM!A64</f>
        <v>Ago-Dic 2009</v>
      </c>
      <c r="B53" s="322">
        <f t="shared" si="32"/>
        <v>0</v>
      </c>
      <c r="C53" s="322">
        <f t="shared" si="33"/>
        <v>0</v>
      </c>
      <c r="D53" s="322">
        <f t="shared" si="34"/>
        <v>0</v>
      </c>
      <c r="E53" s="322">
        <f t="shared" si="35"/>
        <v>0</v>
      </c>
      <c r="F53" s="322">
        <f t="shared" si="37"/>
        <v>14</v>
      </c>
      <c r="G53" s="322">
        <f t="shared" si="59"/>
        <v>3</v>
      </c>
      <c r="H53" s="322">
        <f t="shared" si="38"/>
        <v>39</v>
      </c>
      <c r="I53" s="322">
        <f t="shared" si="39"/>
        <v>26</v>
      </c>
      <c r="J53" s="322">
        <f t="shared" si="40"/>
        <v>22</v>
      </c>
      <c r="K53" s="322">
        <f t="shared" si="41"/>
        <v>34</v>
      </c>
      <c r="L53" s="322">
        <f t="shared" si="42"/>
        <v>24</v>
      </c>
      <c r="M53" s="322">
        <f t="shared" si="43"/>
        <v>6</v>
      </c>
      <c r="N53" s="322">
        <f t="shared" si="44"/>
        <v>38</v>
      </c>
      <c r="O53" s="322">
        <f t="shared" si="45"/>
        <v>0</v>
      </c>
      <c r="P53" s="322">
        <f t="shared" si="46"/>
        <v>0</v>
      </c>
      <c r="Q53" s="322">
        <f t="shared" si="47"/>
        <v>0</v>
      </c>
      <c r="R53" s="322">
        <f t="shared" si="48"/>
        <v>0</v>
      </c>
      <c r="S53" s="322">
        <f t="shared" si="49"/>
        <v>0</v>
      </c>
      <c r="T53" s="322">
        <f t="shared" si="50"/>
        <v>0</v>
      </c>
      <c r="U53" s="322">
        <f t="shared" si="51"/>
        <v>0</v>
      </c>
      <c r="V53" s="322">
        <f t="shared" si="52"/>
        <v>0</v>
      </c>
      <c r="W53" s="322">
        <f t="shared" si="53"/>
        <v>0</v>
      </c>
      <c r="X53" s="322">
        <f t="shared" si="54"/>
        <v>0</v>
      </c>
      <c r="Y53" s="322">
        <f t="shared" si="55"/>
        <v>0</v>
      </c>
      <c r="Z53" s="322">
        <f t="shared" si="56"/>
        <v>0</v>
      </c>
      <c r="AA53" s="322">
        <f t="shared" si="57"/>
        <v>0</v>
      </c>
      <c r="AB53" s="322">
        <f t="shared" si="58"/>
        <v>0</v>
      </c>
      <c r="AC53" s="415">
        <f t="shared" si="36"/>
        <v>206</v>
      </c>
      <c r="AD53" s="421"/>
    </row>
    <row r="54" spans="1:30" x14ac:dyDescent="0.2">
      <c r="A54" s="322" t="str">
        <f>+EST_ITM!A65</f>
        <v>Feb-Jun 2010</v>
      </c>
      <c r="B54" s="322">
        <f t="shared" si="32"/>
        <v>0</v>
      </c>
      <c r="C54" s="322">
        <f t="shared" si="33"/>
        <v>0</v>
      </c>
      <c r="D54" s="322">
        <f t="shared" si="34"/>
        <v>0</v>
      </c>
      <c r="E54" s="322">
        <f t="shared" si="35"/>
        <v>0</v>
      </c>
      <c r="F54" s="322">
        <f t="shared" si="37"/>
        <v>10</v>
      </c>
      <c r="G54" s="322">
        <f t="shared" si="59"/>
        <v>14</v>
      </c>
      <c r="H54" s="322">
        <f t="shared" si="38"/>
        <v>37</v>
      </c>
      <c r="I54" s="322">
        <f t="shared" si="39"/>
        <v>3</v>
      </c>
      <c r="J54" s="322">
        <f t="shared" si="40"/>
        <v>5</v>
      </c>
      <c r="K54" s="322">
        <f t="shared" si="41"/>
        <v>15</v>
      </c>
      <c r="L54" s="322">
        <f t="shared" si="42"/>
        <v>17</v>
      </c>
      <c r="M54" s="322">
        <f t="shared" si="43"/>
        <v>12</v>
      </c>
      <c r="N54" s="322">
        <f t="shared" si="44"/>
        <v>60</v>
      </c>
      <c r="O54" s="322">
        <f t="shared" si="45"/>
        <v>0</v>
      </c>
      <c r="P54" s="322">
        <f t="shared" si="46"/>
        <v>0</v>
      </c>
      <c r="Q54" s="322">
        <f t="shared" si="47"/>
        <v>0</v>
      </c>
      <c r="R54" s="322">
        <f t="shared" si="48"/>
        <v>0</v>
      </c>
      <c r="S54" s="322">
        <f t="shared" si="49"/>
        <v>0</v>
      </c>
      <c r="T54" s="322">
        <f t="shared" si="50"/>
        <v>0</v>
      </c>
      <c r="U54" s="322">
        <f t="shared" si="51"/>
        <v>0</v>
      </c>
      <c r="V54" s="322">
        <f t="shared" si="52"/>
        <v>0</v>
      </c>
      <c r="W54" s="322">
        <f t="shared" si="53"/>
        <v>0</v>
      </c>
      <c r="X54" s="322">
        <f t="shared" si="54"/>
        <v>0</v>
      </c>
      <c r="Y54" s="322">
        <f t="shared" si="55"/>
        <v>0</v>
      </c>
      <c r="Z54" s="322">
        <f t="shared" si="56"/>
        <v>0</v>
      </c>
      <c r="AA54" s="322">
        <f t="shared" si="57"/>
        <v>0</v>
      </c>
      <c r="AB54" s="322">
        <f t="shared" si="58"/>
        <v>0</v>
      </c>
      <c r="AC54" s="415">
        <f t="shared" si="36"/>
        <v>173</v>
      </c>
      <c r="AD54" s="421"/>
    </row>
    <row r="55" spans="1:30" x14ac:dyDescent="0.2">
      <c r="A55" s="322" t="str">
        <f>+EST_ITM!A66</f>
        <v>Ago-Dic 2010</v>
      </c>
      <c r="B55" s="322">
        <f t="shared" si="32"/>
        <v>0</v>
      </c>
      <c r="C55" s="322">
        <f t="shared" si="33"/>
        <v>0</v>
      </c>
      <c r="D55" s="322">
        <f t="shared" si="34"/>
        <v>0</v>
      </c>
      <c r="E55" s="322">
        <f t="shared" si="35"/>
        <v>0</v>
      </c>
      <c r="F55" s="322">
        <f t="shared" si="37"/>
        <v>9</v>
      </c>
      <c r="G55" s="322">
        <f t="shared" si="59"/>
        <v>18</v>
      </c>
      <c r="H55" s="322">
        <f t="shared" si="38"/>
        <v>36</v>
      </c>
      <c r="I55" s="322">
        <f t="shared" si="39"/>
        <v>9</v>
      </c>
      <c r="J55" s="322">
        <f t="shared" si="40"/>
        <v>7</v>
      </c>
      <c r="K55" s="322">
        <f t="shared" si="41"/>
        <v>33</v>
      </c>
      <c r="L55" s="322">
        <f t="shared" si="42"/>
        <v>18</v>
      </c>
      <c r="M55" s="322">
        <f t="shared" si="43"/>
        <v>21</v>
      </c>
      <c r="N55" s="322">
        <f t="shared" si="44"/>
        <v>30</v>
      </c>
      <c r="O55" s="322">
        <f t="shared" si="45"/>
        <v>0</v>
      </c>
      <c r="P55" s="322">
        <f t="shared" si="46"/>
        <v>0</v>
      </c>
      <c r="Q55" s="322">
        <f t="shared" si="47"/>
        <v>0</v>
      </c>
      <c r="R55" s="322">
        <f t="shared" si="48"/>
        <v>0</v>
      </c>
      <c r="S55" s="322">
        <f t="shared" si="49"/>
        <v>0</v>
      </c>
      <c r="T55" s="322">
        <f t="shared" si="50"/>
        <v>0</v>
      </c>
      <c r="U55" s="322">
        <f t="shared" si="51"/>
        <v>0</v>
      </c>
      <c r="V55" s="322">
        <f t="shared" si="52"/>
        <v>0</v>
      </c>
      <c r="W55" s="322">
        <f t="shared" si="53"/>
        <v>0</v>
      </c>
      <c r="X55" s="322">
        <f t="shared" si="54"/>
        <v>0</v>
      </c>
      <c r="Y55" s="322">
        <f t="shared" si="55"/>
        <v>0</v>
      </c>
      <c r="Z55" s="322">
        <f t="shared" si="56"/>
        <v>0</v>
      </c>
      <c r="AA55" s="322">
        <f t="shared" si="57"/>
        <v>0</v>
      </c>
      <c r="AB55" s="322">
        <f t="shared" si="58"/>
        <v>0</v>
      </c>
      <c r="AC55" s="415">
        <f t="shared" si="36"/>
        <v>181</v>
      </c>
      <c r="AD55" s="421"/>
    </row>
    <row r="56" spans="1:30" x14ac:dyDescent="0.2">
      <c r="A56" s="322" t="str">
        <f>+EST_ITM!A67</f>
        <v>Feb-Jun 2011</v>
      </c>
      <c r="B56" s="322">
        <f t="shared" si="32"/>
        <v>0</v>
      </c>
      <c r="C56" s="322">
        <f t="shared" si="33"/>
        <v>0</v>
      </c>
      <c r="D56" s="322">
        <f t="shared" si="34"/>
        <v>0</v>
      </c>
      <c r="E56" s="322">
        <f t="shared" si="35"/>
        <v>0</v>
      </c>
      <c r="F56" s="322">
        <f t="shared" si="37"/>
        <v>12</v>
      </c>
      <c r="G56" s="322">
        <f t="shared" si="59"/>
        <v>9</v>
      </c>
      <c r="H56" s="322">
        <f t="shared" si="38"/>
        <v>38</v>
      </c>
      <c r="I56" s="322">
        <f t="shared" si="39"/>
        <v>21</v>
      </c>
      <c r="J56" s="322">
        <f t="shared" si="40"/>
        <v>10</v>
      </c>
      <c r="K56" s="322">
        <f t="shared" si="41"/>
        <v>8</v>
      </c>
      <c r="L56" s="322">
        <f t="shared" si="42"/>
        <v>17</v>
      </c>
      <c r="M56" s="322">
        <f t="shared" si="43"/>
        <v>15</v>
      </c>
      <c r="N56" s="322">
        <f t="shared" si="44"/>
        <v>47</v>
      </c>
      <c r="O56" s="322">
        <f t="shared" si="45"/>
        <v>0</v>
      </c>
      <c r="P56" s="322">
        <f t="shared" si="46"/>
        <v>0</v>
      </c>
      <c r="Q56" s="322">
        <f t="shared" si="47"/>
        <v>0</v>
      </c>
      <c r="R56" s="322">
        <f t="shared" si="48"/>
        <v>0</v>
      </c>
      <c r="S56" s="322">
        <f t="shared" si="49"/>
        <v>0</v>
      </c>
      <c r="T56" s="322">
        <f t="shared" si="50"/>
        <v>0</v>
      </c>
      <c r="U56" s="322">
        <f t="shared" si="51"/>
        <v>0</v>
      </c>
      <c r="V56" s="322">
        <f t="shared" si="52"/>
        <v>0</v>
      </c>
      <c r="W56" s="322">
        <f t="shared" si="53"/>
        <v>0</v>
      </c>
      <c r="X56" s="322">
        <f t="shared" si="54"/>
        <v>0</v>
      </c>
      <c r="Y56" s="322">
        <f t="shared" si="55"/>
        <v>0</v>
      </c>
      <c r="Z56" s="322">
        <f t="shared" si="56"/>
        <v>0</v>
      </c>
      <c r="AA56" s="322">
        <f t="shared" si="57"/>
        <v>0</v>
      </c>
      <c r="AB56" s="322">
        <f t="shared" si="58"/>
        <v>0</v>
      </c>
      <c r="AC56" s="415">
        <f t="shared" si="36"/>
        <v>177</v>
      </c>
      <c r="AD56" s="421"/>
    </row>
    <row r="57" spans="1:30" x14ac:dyDescent="0.2">
      <c r="A57" s="322" t="str">
        <f>+EST_ITM!A68</f>
        <v>Ago-Dic 2011</v>
      </c>
      <c r="B57" s="322">
        <f t="shared" si="32"/>
        <v>0</v>
      </c>
      <c r="C57" s="322">
        <f t="shared" si="33"/>
        <v>0</v>
      </c>
      <c r="D57" s="322">
        <f t="shared" si="34"/>
        <v>0</v>
      </c>
      <c r="E57" s="322">
        <f t="shared" si="35"/>
        <v>0</v>
      </c>
      <c r="F57" s="322">
        <f t="shared" si="37"/>
        <v>6</v>
      </c>
      <c r="G57" s="322">
        <f t="shared" si="59"/>
        <v>12</v>
      </c>
      <c r="H57" s="322">
        <f t="shared" si="38"/>
        <v>49</v>
      </c>
      <c r="I57" s="322">
        <f t="shared" si="39"/>
        <v>20</v>
      </c>
      <c r="J57" s="322">
        <f t="shared" si="40"/>
        <v>7</v>
      </c>
      <c r="K57" s="322">
        <f t="shared" si="41"/>
        <v>26</v>
      </c>
      <c r="L57" s="322">
        <f t="shared" si="42"/>
        <v>16</v>
      </c>
      <c r="M57" s="322">
        <f t="shared" si="43"/>
        <v>13</v>
      </c>
      <c r="N57" s="322">
        <f t="shared" si="44"/>
        <v>31</v>
      </c>
      <c r="O57" s="322">
        <f t="shared" si="45"/>
        <v>0</v>
      </c>
      <c r="P57" s="322">
        <f t="shared" si="46"/>
        <v>0</v>
      </c>
      <c r="Q57" s="322">
        <f t="shared" si="47"/>
        <v>0</v>
      </c>
      <c r="R57" s="322">
        <f t="shared" si="48"/>
        <v>0</v>
      </c>
      <c r="S57" s="322">
        <f t="shared" si="49"/>
        <v>0</v>
      </c>
      <c r="T57" s="322">
        <f t="shared" si="50"/>
        <v>0</v>
      </c>
      <c r="U57" s="322">
        <f t="shared" si="51"/>
        <v>0</v>
      </c>
      <c r="V57" s="322">
        <f t="shared" si="52"/>
        <v>0</v>
      </c>
      <c r="W57" s="322">
        <f t="shared" si="53"/>
        <v>0</v>
      </c>
      <c r="X57" s="322">
        <f t="shared" si="54"/>
        <v>0</v>
      </c>
      <c r="Y57" s="322">
        <f t="shared" si="55"/>
        <v>0</v>
      </c>
      <c r="Z57" s="322">
        <f t="shared" si="56"/>
        <v>0</v>
      </c>
      <c r="AA57" s="322">
        <f t="shared" si="57"/>
        <v>0</v>
      </c>
      <c r="AB57" s="322">
        <f t="shared" si="58"/>
        <v>0</v>
      </c>
      <c r="AC57" s="415">
        <f t="shared" si="36"/>
        <v>180</v>
      </c>
      <c r="AD57" s="421"/>
    </row>
    <row r="58" spans="1:30" x14ac:dyDescent="0.2">
      <c r="A58" s="322" t="str">
        <f>+EST_ITM!A69</f>
        <v>Feb-Jun 2012</v>
      </c>
      <c r="B58" s="322">
        <f t="shared" si="32"/>
        <v>0</v>
      </c>
      <c r="C58" s="322">
        <f t="shared" si="33"/>
        <v>0</v>
      </c>
      <c r="D58" s="322">
        <f t="shared" si="34"/>
        <v>0</v>
      </c>
      <c r="E58" s="322">
        <f t="shared" si="35"/>
        <v>0</v>
      </c>
      <c r="F58" s="322">
        <f t="shared" si="37"/>
        <v>7</v>
      </c>
      <c r="G58" s="322">
        <f t="shared" si="59"/>
        <v>4</v>
      </c>
      <c r="H58" s="322">
        <f t="shared" si="38"/>
        <v>34</v>
      </c>
      <c r="I58" s="322">
        <f t="shared" si="39"/>
        <v>14</v>
      </c>
      <c r="J58" s="322">
        <f t="shared" si="40"/>
        <v>6</v>
      </c>
      <c r="K58" s="322">
        <f t="shared" si="41"/>
        <v>13</v>
      </c>
      <c r="L58" s="322">
        <f t="shared" si="42"/>
        <v>14</v>
      </c>
      <c r="M58" s="322">
        <f t="shared" si="43"/>
        <v>10</v>
      </c>
      <c r="N58" s="322">
        <f t="shared" si="44"/>
        <v>23</v>
      </c>
      <c r="O58" s="322">
        <f t="shared" si="45"/>
        <v>0</v>
      </c>
      <c r="P58" s="322">
        <f t="shared" si="46"/>
        <v>0</v>
      </c>
      <c r="Q58" s="322">
        <f t="shared" si="47"/>
        <v>0</v>
      </c>
      <c r="R58" s="322">
        <f t="shared" si="48"/>
        <v>0</v>
      </c>
      <c r="S58" s="322">
        <f t="shared" si="49"/>
        <v>0</v>
      </c>
      <c r="T58" s="322">
        <f t="shared" si="50"/>
        <v>0</v>
      </c>
      <c r="U58" s="322">
        <f t="shared" si="51"/>
        <v>0</v>
      </c>
      <c r="V58" s="322">
        <f t="shared" si="52"/>
        <v>0</v>
      </c>
      <c r="W58" s="322">
        <f t="shared" si="53"/>
        <v>0</v>
      </c>
      <c r="X58" s="322">
        <f t="shared" si="54"/>
        <v>0</v>
      </c>
      <c r="Y58" s="322">
        <f t="shared" si="55"/>
        <v>0</v>
      </c>
      <c r="Z58" s="322">
        <f t="shared" si="56"/>
        <v>0</v>
      </c>
      <c r="AA58" s="322">
        <f t="shared" si="57"/>
        <v>0</v>
      </c>
      <c r="AB58" s="322">
        <f t="shared" si="58"/>
        <v>0</v>
      </c>
      <c r="AC58" s="415">
        <f t="shared" si="36"/>
        <v>125</v>
      </c>
      <c r="AD58" s="421"/>
    </row>
    <row r="59" spans="1:30" x14ac:dyDescent="0.2">
      <c r="A59" s="322" t="str">
        <f>+EST_ITM!A70</f>
        <v>Ago-Dic 2012</v>
      </c>
      <c r="B59" s="322">
        <f t="shared" si="32"/>
        <v>0</v>
      </c>
      <c r="C59" s="322">
        <f t="shared" si="33"/>
        <v>0</v>
      </c>
      <c r="D59" s="322">
        <f t="shared" si="34"/>
        <v>0</v>
      </c>
      <c r="E59" s="322">
        <f t="shared" si="35"/>
        <v>0</v>
      </c>
      <c r="F59" s="322">
        <f t="shared" si="37"/>
        <v>6</v>
      </c>
      <c r="G59" s="322">
        <f t="shared" si="59"/>
        <v>4</v>
      </c>
      <c r="H59" s="322">
        <f t="shared" si="38"/>
        <v>42</v>
      </c>
      <c r="I59" s="322">
        <f t="shared" si="39"/>
        <v>15</v>
      </c>
      <c r="J59" s="322">
        <f t="shared" si="40"/>
        <v>8</v>
      </c>
      <c r="K59" s="322">
        <f t="shared" si="41"/>
        <v>15</v>
      </c>
      <c r="L59" s="322">
        <f t="shared" si="42"/>
        <v>11</v>
      </c>
      <c r="M59" s="322">
        <f t="shared" si="43"/>
        <v>13</v>
      </c>
      <c r="N59" s="322">
        <f t="shared" si="44"/>
        <v>24</v>
      </c>
      <c r="O59" s="322">
        <f t="shared" si="45"/>
        <v>0</v>
      </c>
      <c r="P59" s="322">
        <f t="shared" si="46"/>
        <v>0</v>
      </c>
      <c r="Q59" s="322">
        <f t="shared" si="47"/>
        <v>0</v>
      </c>
      <c r="R59" s="322">
        <f t="shared" si="48"/>
        <v>0</v>
      </c>
      <c r="S59" s="322">
        <f t="shared" si="49"/>
        <v>0</v>
      </c>
      <c r="T59" s="322">
        <f t="shared" si="50"/>
        <v>0</v>
      </c>
      <c r="U59" s="322">
        <f t="shared" si="51"/>
        <v>0</v>
      </c>
      <c r="V59" s="322">
        <f t="shared" si="52"/>
        <v>0</v>
      </c>
      <c r="W59" s="322">
        <f t="shared" si="53"/>
        <v>0</v>
      </c>
      <c r="X59" s="322">
        <f t="shared" si="54"/>
        <v>0</v>
      </c>
      <c r="Y59" s="322">
        <f t="shared" si="55"/>
        <v>0</v>
      </c>
      <c r="Z59" s="322">
        <f t="shared" si="56"/>
        <v>0</v>
      </c>
      <c r="AA59" s="322">
        <f t="shared" si="57"/>
        <v>0</v>
      </c>
      <c r="AB59" s="322">
        <f t="shared" si="58"/>
        <v>0</v>
      </c>
      <c r="AC59" s="415">
        <f t="shared" si="36"/>
        <v>138</v>
      </c>
      <c r="AD59" s="421"/>
    </row>
    <row r="60" spans="1:30" x14ac:dyDescent="0.2">
      <c r="A60" s="322" t="str">
        <f>+EST_ITM!A71</f>
        <v>Feb-Jun 2013</v>
      </c>
      <c r="B60" s="322">
        <f t="shared" si="32"/>
        <v>0</v>
      </c>
      <c r="C60" s="322">
        <f t="shared" si="33"/>
        <v>0</v>
      </c>
      <c r="D60" s="322">
        <f t="shared" si="34"/>
        <v>0</v>
      </c>
      <c r="E60" s="322">
        <f t="shared" si="35"/>
        <v>0</v>
      </c>
      <c r="F60" s="322">
        <f t="shared" si="37"/>
        <v>12</v>
      </c>
      <c r="G60" s="322">
        <f t="shared" si="59"/>
        <v>15</v>
      </c>
      <c r="H60" s="322">
        <f t="shared" si="38"/>
        <v>45</v>
      </c>
      <c r="I60" s="322">
        <f t="shared" si="39"/>
        <v>16</v>
      </c>
      <c r="J60" s="322">
        <f t="shared" si="40"/>
        <v>14</v>
      </c>
      <c r="K60" s="322">
        <f t="shared" si="41"/>
        <v>9</v>
      </c>
      <c r="L60" s="322">
        <f t="shared" si="42"/>
        <v>15</v>
      </c>
      <c r="M60" s="322">
        <f t="shared" si="43"/>
        <v>23</v>
      </c>
      <c r="N60" s="322">
        <f t="shared" si="44"/>
        <v>21</v>
      </c>
      <c r="O60" s="322">
        <f t="shared" si="45"/>
        <v>0</v>
      </c>
      <c r="P60" s="322">
        <f t="shared" si="46"/>
        <v>0</v>
      </c>
      <c r="Q60" s="322">
        <f t="shared" si="47"/>
        <v>0</v>
      </c>
      <c r="R60" s="322">
        <f t="shared" si="48"/>
        <v>0</v>
      </c>
      <c r="S60" s="322">
        <f t="shared" si="49"/>
        <v>0</v>
      </c>
      <c r="T60" s="322">
        <f t="shared" si="50"/>
        <v>0</v>
      </c>
      <c r="U60" s="322">
        <f t="shared" si="51"/>
        <v>0</v>
      </c>
      <c r="V60" s="322">
        <f t="shared" si="52"/>
        <v>0</v>
      </c>
      <c r="W60" s="322">
        <f t="shared" si="53"/>
        <v>0</v>
      </c>
      <c r="X60" s="322">
        <f t="shared" si="54"/>
        <v>0</v>
      </c>
      <c r="Y60" s="322">
        <f t="shared" si="55"/>
        <v>0</v>
      </c>
      <c r="Z60" s="322">
        <f t="shared" si="56"/>
        <v>0</v>
      </c>
      <c r="AA60" s="322">
        <f t="shared" si="57"/>
        <v>0</v>
      </c>
      <c r="AB60" s="322">
        <f t="shared" si="58"/>
        <v>0</v>
      </c>
      <c r="AC60" s="415">
        <f t="shared" si="36"/>
        <v>170</v>
      </c>
      <c r="AD60" s="421"/>
    </row>
    <row r="61" spans="1:30" x14ac:dyDescent="0.2">
      <c r="A61" s="322" t="str">
        <f>+EST_ITM!A72</f>
        <v>Ago-Dic 2013</v>
      </c>
      <c r="B61" s="322">
        <f t="shared" si="32"/>
        <v>0</v>
      </c>
      <c r="C61" s="322">
        <f t="shared" si="33"/>
        <v>0</v>
      </c>
      <c r="D61" s="322">
        <f t="shared" si="34"/>
        <v>0</v>
      </c>
      <c r="E61" s="322">
        <f t="shared" si="35"/>
        <v>0</v>
      </c>
      <c r="F61" s="322">
        <f t="shared" si="37"/>
        <v>10</v>
      </c>
      <c r="G61" s="322">
        <f t="shared" si="59"/>
        <v>22</v>
      </c>
      <c r="H61" s="322">
        <f t="shared" si="38"/>
        <v>37</v>
      </c>
      <c r="I61" s="322">
        <f t="shared" si="39"/>
        <v>22</v>
      </c>
      <c r="J61" s="322">
        <f t="shared" si="40"/>
        <v>7</v>
      </c>
      <c r="K61" s="322">
        <f t="shared" si="41"/>
        <v>13</v>
      </c>
      <c r="L61" s="322">
        <f t="shared" si="42"/>
        <v>30</v>
      </c>
      <c r="M61" s="322">
        <f t="shared" si="43"/>
        <v>29</v>
      </c>
      <c r="N61" s="322">
        <f t="shared" si="44"/>
        <v>40</v>
      </c>
      <c r="O61" s="322">
        <f t="shared" si="45"/>
        <v>0</v>
      </c>
      <c r="P61" s="322">
        <f t="shared" si="46"/>
        <v>0</v>
      </c>
      <c r="Q61" s="322">
        <f t="shared" si="47"/>
        <v>0</v>
      </c>
      <c r="R61" s="322">
        <f t="shared" si="48"/>
        <v>0</v>
      </c>
      <c r="S61" s="322">
        <f t="shared" si="49"/>
        <v>0</v>
      </c>
      <c r="T61" s="322">
        <f t="shared" si="50"/>
        <v>0</v>
      </c>
      <c r="U61" s="322">
        <f t="shared" si="51"/>
        <v>0</v>
      </c>
      <c r="V61" s="322">
        <f t="shared" si="52"/>
        <v>0</v>
      </c>
      <c r="W61" s="322">
        <f t="shared" si="53"/>
        <v>0</v>
      </c>
      <c r="X61" s="322">
        <f t="shared" si="54"/>
        <v>0</v>
      </c>
      <c r="Y61" s="322">
        <f t="shared" si="55"/>
        <v>0</v>
      </c>
      <c r="Z61" s="322">
        <f t="shared" si="56"/>
        <v>0</v>
      </c>
      <c r="AA61" s="322">
        <f t="shared" si="57"/>
        <v>0</v>
      </c>
      <c r="AB61" s="322">
        <f t="shared" si="58"/>
        <v>0</v>
      </c>
      <c r="AC61" s="415">
        <f t="shared" si="36"/>
        <v>210</v>
      </c>
      <c r="AD61" s="421"/>
    </row>
    <row r="62" spans="1:30" x14ac:dyDescent="0.2">
      <c r="A62" s="322" t="str">
        <f>+EST_ITM!A73</f>
        <v>Feb-Jun 2014</v>
      </c>
      <c r="B62" s="322">
        <f t="shared" si="32"/>
        <v>0</v>
      </c>
      <c r="C62" s="322">
        <f t="shared" si="33"/>
        <v>0</v>
      </c>
      <c r="D62" s="322">
        <f t="shared" si="34"/>
        <v>0</v>
      </c>
      <c r="E62" s="322">
        <f t="shared" si="35"/>
        <v>0</v>
      </c>
      <c r="F62" s="322">
        <f t="shared" si="37"/>
        <v>7</v>
      </c>
      <c r="G62" s="322">
        <f t="shared" si="59"/>
        <v>8</v>
      </c>
      <c r="H62" s="322">
        <f t="shared" si="38"/>
        <v>30</v>
      </c>
      <c r="I62" s="322">
        <f t="shared" si="39"/>
        <v>13</v>
      </c>
      <c r="J62" s="322">
        <f t="shared" si="40"/>
        <v>16</v>
      </c>
      <c r="K62" s="322">
        <f t="shared" si="41"/>
        <v>0</v>
      </c>
      <c r="L62" s="322">
        <f t="shared" si="42"/>
        <v>25</v>
      </c>
      <c r="M62" s="322">
        <f t="shared" si="43"/>
        <v>5</v>
      </c>
      <c r="N62" s="322">
        <f t="shared" si="44"/>
        <v>21</v>
      </c>
      <c r="O62" s="322">
        <f t="shared" si="45"/>
        <v>9</v>
      </c>
      <c r="P62" s="322">
        <f t="shared" si="46"/>
        <v>0</v>
      </c>
      <c r="Q62" s="322">
        <f t="shared" si="47"/>
        <v>1</v>
      </c>
      <c r="R62" s="322">
        <f t="shared" si="48"/>
        <v>0</v>
      </c>
      <c r="S62" s="322">
        <f t="shared" si="49"/>
        <v>0</v>
      </c>
      <c r="T62" s="322">
        <f t="shared" si="50"/>
        <v>0</v>
      </c>
      <c r="U62" s="322">
        <f t="shared" si="51"/>
        <v>3</v>
      </c>
      <c r="V62" s="322">
        <f t="shared" si="52"/>
        <v>0</v>
      </c>
      <c r="W62" s="322">
        <f t="shared" si="53"/>
        <v>0</v>
      </c>
      <c r="X62" s="322">
        <f t="shared" si="54"/>
        <v>1</v>
      </c>
      <c r="Y62" s="322">
        <f t="shared" si="55"/>
        <v>0</v>
      </c>
      <c r="Z62" s="322">
        <f t="shared" si="56"/>
        <v>4</v>
      </c>
      <c r="AA62" s="322">
        <f t="shared" si="57"/>
        <v>0</v>
      </c>
      <c r="AB62" s="322">
        <f t="shared" si="58"/>
        <v>0</v>
      </c>
      <c r="AC62" s="415">
        <f t="shared" si="36"/>
        <v>143</v>
      </c>
      <c r="AD62" s="421"/>
    </row>
    <row r="63" spans="1:30" x14ac:dyDescent="0.2">
      <c r="A63" s="322" t="str">
        <f>+EST_ITM!A74</f>
        <v>Ago-Dic 2014</v>
      </c>
      <c r="B63" s="322">
        <f t="shared" si="32"/>
        <v>0</v>
      </c>
      <c r="C63" s="322">
        <f t="shared" si="33"/>
        <v>0</v>
      </c>
      <c r="D63" s="322">
        <f t="shared" si="34"/>
        <v>0</v>
      </c>
      <c r="E63" s="322">
        <f t="shared" si="35"/>
        <v>0</v>
      </c>
      <c r="F63" s="322">
        <f t="shared" si="37"/>
        <v>4</v>
      </c>
      <c r="G63" s="322">
        <f t="shared" si="59"/>
        <v>4</v>
      </c>
      <c r="H63" s="322">
        <f t="shared" si="38"/>
        <v>7</v>
      </c>
      <c r="I63" s="322">
        <f t="shared" si="39"/>
        <v>8</v>
      </c>
      <c r="J63" s="322">
        <f t="shared" si="40"/>
        <v>9</v>
      </c>
      <c r="K63" s="322">
        <f t="shared" si="41"/>
        <v>6</v>
      </c>
      <c r="L63" s="322">
        <f t="shared" si="42"/>
        <v>7</v>
      </c>
      <c r="M63" s="322">
        <f t="shared" si="43"/>
        <v>4</v>
      </c>
      <c r="N63" s="322">
        <f t="shared" si="44"/>
        <v>10</v>
      </c>
      <c r="O63" s="322">
        <f t="shared" si="45"/>
        <v>14</v>
      </c>
      <c r="P63" s="322">
        <f t="shared" si="46"/>
        <v>0</v>
      </c>
      <c r="Q63" s="322">
        <f t="shared" si="47"/>
        <v>11</v>
      </c>
      <c r="R63" s="322">
        <f t="shared" si="48"/>
        <v>0</v>
      </c>
      <c r="S63" s="322">
        <f t="shared" si="49"/>
        <v>0</v>
      </c>
      <c r="T63" s="322">
        <f t="shared" si="50"/>
        <v>2</v>
      </c>
      <c r="U63" s="322">
        <f t="shared" si="51"/>
        <v>12</v>
      </c>
      <c r="V63" s="322">
        <f t="shared" si="52"/>
        <v>16</v>
      </c>
      <c r="W63" s="322">
        <f t="shared" si="53"/>
        <v>2</v>
      </c>
      <c r="X63" s="322">
        <f t="shared" si="54"/>
        <v>12</v>
      </c>
      <c r="Y63" s="322">
        <f t="shared" si="55"/>
        <v>8</v>
      </c>
      <c r="Z63" s="322">
        <f t="shared" si="56"/>
        <v>6</v>
      </c>
      <c r="AA63" s="322">
        <f t="shared" si="57"/>
        <v>0</v>
      </c>
      <c r="AB63" s="322">
        <f t="shared" si="58"/>
        <v>0</v>
      </c>
      <c r="AC63" s="415">
        <f t="shared" si="36"/>
        <v>142</v>
      </c>
      <c r="AD63" s="421"/>
    </row>
    <row r="64" spans="1:30" x14ac:dyDescent="0.2">
      <c r="A64" s="322" t="str">
        <f>+EST_ITM!A75</f>
        <v>Feb-Jun 2015</v>
      </c>
      <c r="B64" s="322">
        <f t="shared" si="32"/>
        <v>0</v>
      </c>
      <c r="C64" s="322">
        <f t="shared" si="33"/>
        <v>0</v>
      </c>
      <c r="D64" s="322">
        <f t="shared" si="34"/>
        <v>0</v>
      </c>
      <c r="E64" s="322">
        <f t="shared" si="35"/>
        <v>0</v>
      </c>
      <c r="F64" s="322">
        <f t="shared" si="37"/>
        <v>3</v>
      </c>
      <c r="G64" s="322">
        <f t="shared" si="59"/>
        <v>2</v>
      </c>
      <c r="H64" s="322">
        <f t="shared" si="38"/>
        <v>7</v>
      </c>
      <c r="I64" s="322">
        <f t="shared" si="39"/>
        <v>1</v>
      </c>
      <c r="J64" s="322">
        <f t="shared" si="40"/>
        <v>5</v>
      </c>
      <c r="K64" s="322">
        <f t="shared" si="41"/>
        <v>3</v>
      </c>
      <c r="L64" s="322">
        <f t="shared" si="42"/>
        <v>0</v>
      </c>
      <c r="M64" s="322">
        <f t="shared" si="43"/>
        <v>0</v>
      </c>
      <c r="N64" s="322">
        <f t="shared" si="44"/>
        <v>10</v>
      </c>
      <c r="O64" s="322">
        <f t="shared" si="45"/>
        <v>3</v>
      </c>
      <c r="P64" s="322">
        <f t="shared" si="46"/>
        <v>6</v>
      </c>
      <c r="Q64" s="322">
        <f t="shared" si="47"/>
        <v>6</v>
      </c>
      <c r="R64" s="322">
        <f t="shared" si="48"/>
        <v>5</v>
      </c>
      <c r="S64" s="322">
        <f t="shared" si="49"/>
        <v>6</v>
      </c>
      <c r="T64" s="322">
        <f t="shared" si="50"/>
        <v>0</v>
      </c>
      <c r="U64" s="322">
        <f t="shared" si="51"/>
        <v>10</v>
      </c>
      <c r="V64" s="322">
        <f t="shared" si="52"/>
        <v>34</v>
      </c>
      <c r="W64" s="322">
        <f t="shared" si="53"/>
        <v>0</v>
      </c>
      <c r="X64" s="322">
        <f t="shared" si="54"/>
        <v>5</v>
      </c>
      <c r="Y64" s="322">
        <f t="shared" si="55"/>
        <v>13</v>
      </c>
      <c r="Z64" s="322">
        <f t="shared" si="56"/>
        <v>6</v>
      </c>
      <c r="AA64" s="322">
        <f t="shared" si="57"/>
        <v>0</v>
      </c>
      <c r="AB64" s="322">
        <f t="shared" si="58"/>
        <v>0</v>
      </c>
      <c r="AC64" s="415">
        <f t="shared" si="36"/>
        <v>125</v>
      </c>
      <c r="AD64" s="421"/>
    </row>
    <row r="65" spans="1:30" x14ac:dyDescent="0.2">
      <c r="A65" s="322" t="str">
        <f>+EST_ITM!A76</f>
        <v>Ago-Dic 2015</v>
      </c>
      <c r="B65" s="322">
        <f t="shared" si="32"/>
        <v>0</v>
      </c>
      <c r="C65" s="322">
        <f t="shared" si="33"/>
        <v>0</v>
      </c>
      <c r="D65" s="322">
        <f t="shared" si="34"/>
        <v>0</v>
      </c>
      <c r="E65" s="322">
        <f t="shared" si="35"/>
        <v>0</v>
      </c>
      <c r="F65" s="322">
        <f t="shared" si="37"/>
        <v>2</v>
      </c>
      <c r="G65" s="322">
        <f t="shared" si="59"/>
        <v>3</v>
      </c>
      <c r="H65" s="322">
        <f t="shared" si="38"/>
        <v>7</v>
      </c>
      <c r="I65" s="322">
        <f t="shared" si="39"/>
        <v>2</v>
      </c>
      <c r="J65" s="322">
        <f t="shared" si="40"/>
        <v>1</v>
      </c>
      <c r="K65" s="322">
        <f t="shared" si="41"/>
        <v>0</v>
      </c>
      <c r="L65" s="322">
        <f t="shared" si="42"/>
        <v>0</v>
      </c>
      <c r="M65" s="322">
        <f t="shared" si="43"/>
        <v>1</v>
      </c>
      <c r="N65" s="322">
        <f t="shared" si="44"/>
        <v>6</v>
      </c>
      <c r="O65" s="322">
        <f t="shared" si="45"/>
        <v>21</v>
      </c>
      <c r="P65" s="322">
        <f t="shared" si="46"/>
        <v>7</v>
      </c>
      <c r="Q65" s="322">
        <f t="shared" si="47"/>
        <v>2</v>
      </c>
      <c r="R65" s="322">
        <f t="shared" si="48"/>
        <v>6</v>
      </c>
      <c r="S65" s="322">
        <f t="shared" si="49"/>
        <v>5</v>
      </c>
      <c r="T65" s="322">
        <f t="shared" si="50"/>
        <v>5</v>
      </c>
      <c r="U65" s="322">
        <f t="shared" si="51"/>
        <v>16</v>
      </c>
      <c r="V65" s="322">
        <f t="shared" si="52"/>
        <v>29</v>
      </c>
      <c r="W65" s="322">
        <f t="shared" si="53"/>
        <v>4</v>
      </c>
      <c r="X65" s="322">
        <f t="shared" si="54"/>
        <v>1</v>
      </c>
      <c r="Y65" s="322">
        <f t="shared" si="55"/>
        <v>33</v>
      </c>
      <c r="Z65" s="322">
        <f t="shared" si="56"/>
        <v>18</v>
      </c>
      <c r="AA65" s="322">
        <f t="shared" si="57"/>
        <v>0</v>
      </c>
      <c r="AB65" s="322">
        <f t="shared" si="58"/>
        <v>0</v>
      </c>
      <c r="AC65" s="415">
        <f t="shared" si="36"/>
        <v>169</v>
      </c>
      <c r="AD65" s="421"/>
    </row>
    <row r="66" spans="1:30" x14ac:dyDescent="0.2">
      <c r="A66" s="322" t="str">
        <f>+EST_ITM!A77</f>
        <v>Feb-Jun 2016</v>
      </c>
      <c r="B66" s="322">
        <f t="shared" si="32"/>
        <v>0</v>
      </c>
      <c r="C66" s="322">
        <f t="shared" si="33"/>
        <v>0</v>
      </c>
      <c r="D66" s="322">
        <f t="shared" si="34"/>
        <v>0</v>
      </c>
      <c r="E66" s="322">
        <f t="shared" si="35"/>
        <v>0</v>
      </c>
      <c r="F66" s="322">
        <f t="shared" si="37"/>
        <v>0</v>
      </c>
      <c r="G66" s="322">
        <f t="shared" si="59"/>
        <v>1</v>
      </c>
      <c r="H66" s="322">
        <f t="shared" si="38"/>
        <v>7</v>
      </c>
      <c r="I66" s="322">
        <f t="shared" si="39"/>
        <v>0</v>
      </c>
      <c r="J66" s="322">
        <f t="shared" si="40"/>
        <v>0</v>
      </c>
      <c r="K66" s="322">
        <f t="shared" si="41"/>
        <v>0</v>
      </c>
      <c r="L66" s="322">
        <f t="shared" si="42"/>
        <v>0</v>
      </c>
      <c r="M66" s="322">
        <f t="shared" si="43"/>
        <v>2</v>
      </c>
      <c r="N66" s="322">
        <f t="shared" si="44"/>
        <v>4</v>
      </c>
      <c r="O66" s="322">
        <f t="shared" si="45"/>
        <v>8</v>
      </c>
      <c r="P66" s="322">
        <f t="shared" si="46"/>
        <v>3</v>
      </c>
      <c r="Q66" s="322">
        <f t="shared" si="47"/>
        <v>2</v>
      </c>
      <c r="R66" s="322">
        <f t="shared" si="48"/>
        <v>13</v>
      </c>
      <c r="S66" s="322">
        <f t="shared" si="49"/>
        <v>6</v>
      </c>
      <c r="T66" s="322">
        <f t="shared" si="50"/>
        <v>1</v>
      </c>
      <c r="U66" s="322">
        <f t="shared" si="51"/>
        <v>17</v>
      </c>
      <c r="V66" s="322">
        <f t="shared" si="52"/>
        <v>57</v>
      </c>
      <c r="W66" s="322">
        <f t="shared" si="53"/>
        <v>4</v>
      </c>
      <c r="X66" s="322">
        <f t="shared" si="54"/>
        <v>10</v>
      </c>
      <c r="Y66" s="322">
        <f t="shared" si="55"/>
        <v>37</v>
      </c>
      <c r="Z66" s="322">
        <f t="shared" si="56"/>
        <v>6</v>
      </c>
      <c r="AA66" s="322">
        <f t="shared" si="57"/>
        <v>0</v>
      </c>
      <c r="AB66" s="322">
        <f t="shared" si="58"/>
        <v>1</v>
      </c>
      <c r="AC66" s="415">
        <f t="shared" si="36"/>
        <v>179</v>
      </c>
      <c r="AD66" s="421"/>
    </row>
    <row r="67" spans="1:30" x14ac:dyDescent="0.2">
      <c r="A67" s="322" t="str">
        <f>+EST_ITM!A78</f>
        <v>Ago-Dic 2016</v>
      </c>
      <c r="B67" s="322">
        <f t="shared" si="32"/>
        <v>0</v>
      </c>
      <c r="C67" s="322">
        <f t="shared" si="33"/>
        <v>0</v>
      </c>
      <c r="D67" s="322">
        <f t="shared" si="34"/>
        <v>0</v>
      </c>
      <c r="E67" s="322">
        <f t="shared" si="35"/>
        <v>0</v>
      </c>
      <c r="F67" s="322">
        <f t="shared" si="37"/>
        <v>0</v>
      </c>
      <c r="G67" s="322">
        <f t="shared" si="59"/>
        <v>3</v>
      </c>
      <c r="H67" s="322">
        <f t="shared" si="38"/>
        <v>1</v>
      </c>
      <c r="I67" s="322">
        <f t="shared" si="39"/>
        <v>0</v>
      </c>
      <c r="J67" s="322">
        <f t="shared" si="40"/>
        <v>1</v>
      </c>
      <c r="K67" s="322">
        <f t="shared" si="41"/>
        <v>2</v>
      </c>
      <c r="L67" s="322">
        <f t="shared" si="42"/>
        <v>0</v>
      </c>
      <c r="M67" s="322">
        <f t="shared" si="43"/>
        <v>0</v>
      </c>
      <c r="N67" s="322">
        <f t="shared" si="44"/>
        <v>3</v>
      </c>
      <c r="O67" s="322">
        <f t="shared" si="45"/>
        <v>23</v>
      </c>
      <c r="P67" s="322">
        <f t="shared" si="46"/>
        <v>4</v>
      </c>
      <c r="Q67" s="322">
        <f t="shared" si="47"/>
        <v>30</v>
      </c>
      <c r="R67" s="322">
        <f t="shared" si="48"/>
        <v>10</v>
      </c>
      <c r="S67" s="322">
        <f t="shared" si="49"/>
        <v>9</v>
      </c>
      <c r="T67" s="322">
        <f t="shared" si="50"/>
        <v>5</v>
      </c>
      <c r="U67" s="322">
        <f t="shared" si="51"/>
        <v>15</v>
      </c>
      <c r="V67" s="322">
        <f t="shared" si="52"/>
        <v>62</v>
      </c>
      <c r="W67" s="322">
        <f t="shared" si="53"/>
        <v>1</v>
      </c>
      <c r="X67" s="322">
        <f t="shared" si="54"/>
        <v>11</v>
      </c>
      <c r="Y67" s="322">
        <f t="shared" si="55"/>
        <v>29</v>
      </c>
      <c r="Z67" s="322">
        <f t="shared" si="56"/>
        <v>23</v>
      </c>
      <c r="AA67" s="322">
        <f t="shared" si="57"/>
        <v>0</v>
      </c>
      <c r="AB67" s="322">
        <f t="shared" si="58"/>
        <v>1</v>
      </c>
      <c r="AC67" s="415">
        <f t="shared" si="36"/>
        <v>233</v>
      </c>
      <c r="AD67" s="421"/>
    </row>
    <row r="68" spans="1:30" x14ac:dyDescent="0.2">
      <c r="A68" s="322" t="str">
        <f>+EST_ITM!A79</f>
        <v>Feb-Jun 2017</v>
      </c>
      <c r="B68" s="322">
        <f t="shared" ref="B68:B69" si="60">+VLOOKUP(A68,sabana,$B$2,FALSE)</f>
        <v>0</v>
      </c>
      <c r="C68" s="322">
        <f t="shared" si="33"/>
        <v>0</v>
      </c>
      <c r="D68" s="322">
        <f t="shared" si="34"/>
        <v>0</v>
      </c>
      <c r="E68" s="322">
        <f t="shared" si="35"/>
        <v>0</v>
      </c>
      <c r="F68" s="322">
        <f t="shared" si="37"/>
        <v>1</v>
      </c>
      <c r="G68" s="322">
        <f t="shared" si="59"/>
        <v>1</v>
      </c>
      <c r="H68" s="322">
        <f t="shared" si="38"/>
        <v>1</v>
      </c>
      <c r="I68" s="322">
        <f t="shared" si="39"/>
        <v>0</v>
      </c>
      <c r="J68" s="322">
        <f t="shared" si="40"/>
        <v>0</v>
      </c>
      <c r="K68" s="322">
        <f t="shared" si="41"/>
        <v>0</v>
      </c>
      <c r="L68" s="322">
        <f t="shared" si="42"/>
        <v>0</v>
      </c>
      <c r="M68" s="322">
        <f t="shared" si="43"/>
        <v>0</v>
      </c>
      <c r="N68" s="322">
        <f t="shared" si="44"/>
        <v>1</v>
      </c>
      <c r="O68" s="322">
        <f t="shared" si="45"/>
        <v>7</v>
      </c>
      <c r="P68" s="322">
        <f t="shared" si="46"/>
        <v>13</v>
      </c>
      <c r="Q68" s="322">
        <f t="shared" si="47"/>
        <v>14</v>
      </c>
      <c r="R68" s="322">
        <f t="shared" si="48"/>
        <v>15</v>
      </c>
      <c r="S68" s="322">
        <f t="shared" si="49"/>
        <v>8</v>
      </c>
      <c r="T68" s="322">
        <f t="shared" si="50"/>
        <v>7</v>
      </c>
      <c r="U68" s="322">
        <f t="shared" si="51"/>
        <v>15</v>
      </c>
      <c r="V68" s="322">
        <f t="shared" si="52"/>
        <v>42</v>
      </c>
      <c r="W68" s="322">
        <f t="shared" si="53"/>
        <v>4</v>
      </c>
      <c r="X68" s="322">
        <f t="shared" si="54"/>
        <v>16</v>
      </c>
      <c r="Y68" s="322">
        <f t="shared" si="55"/>
        <v>27</v>
      </c>
      <c r="Z68" s="322">
        <f t="shared" si="56"/>
        <v>7</v>
      </c>
      <c r="AA68" s="322">
        <f t="shared" si="57"/>
        <v>0</v>
      </c>
      <c r="AB68" s="322">
        <f t="shared" si="58"/>
        <v>0</v>
      </c>
      <c r="AC68" s="415">
        <f t="shared" ref="AC68:AC69" si="61">SUM(B68:AB68)</f>
        <v>179</v>
      </c>
      <c r="AD68" s="421"/>
    </row>
    <row r="69" spans="1:30" x14ac:dyDescent="0.2">
      <c r="A69" s="322" t="str">
        <f>+EST_ITM!A80</f>
        <v>Ago-Dic 2017</v>
      </c>
      <c r="B69" s="322">
        <f t="shared" si="60"/>
        <v>0</v>
      </c>
      <c r="C69" s="322">
        <f t="shared" si="33"/>
        <v>0</v>
      </c>
      <c r="D69" s="322">
        <f t="shared" si="34"/>
        <v>0</v>
      </c>
      <c r="E69" s="322">
        <f t="shared" si="35"/>
        <v>0</v>
      </c>
      <c r="F69" s="322">
        <f t="shared" si="37"/>
        <v>0</v>
      </c>
      <c r="G69" s="322">
        <f t="shared" si="59"/>
        <v>1</v>
      </c>
      <c r="H69" s="322">
        <f t="shared" si="38"/>
        <v>0</v>
      </c>
      <c r="I69" s="322">
        <f t="shared" si="39"/>
        <v>0</v>
      </c>
      <c r="J69" s="322">
        <f t="shared" si="40"/>
        <v>1</v>
      </c>
      <c r="K69" s="322">
        <f t="shared" si="41"/>
        <v>0</v>
      </c>
      <c r="L69" s="322">
        <f t="shared" si="42"/>
        <v>0</v>
      </c>
      <c r="M69" s="322">
        <f t="shared" si="43"/>
        <v>0</v>
      </c>
      <c r="N69" s="322">
        <f t="shared" si="44"/>
        <v>1</v>
      </c>
      <c r="O69" s="322">
        <f t="shared" si="45"/>
        <v>30</v>
      </c>
      <c r="P69" s="322">
        <f t="shared" si="46"/>
        <v>14</v>
      </c>
      <c r="Q69" s="322">
        <f t="shared" si="47"/>
        <v>31</v>
      </c>
      <c r="R69" s="322">
        <f t="shared" si="48"/>
        <v>13</v>
      </c>
      <c r="S69" s="322">
        <f t="shared" si="49"/>
        <v>9</v>
      </c>
      <c r="T69" s="322">
        <f t="shared" si="50"/>
        <v>12</v>
      </c>
      <c r="U69" s="322">
        <f t="shared" si="51"/>
        <v>16</v>
      </c>
      <c r="V69" s="322">
        <f t="shared" si="52"/>
        <v>26</v>
      </c>
      <c r="W69" s="322">
        <f t="shared" si="53"/>
        <v>9</v>
      </c>
      <c r="X69" s="322">
        <f t="shared" si="54"/>
        <v>18</v>
      </c>
      <c r="Y69" s="322">
        <f t="shared" si="55"/>
        <v>27</v>
      </c>
      <c r="Z69" s="322">
        <f t="shared" si="56"/>
        <v>15</v>
      </c>
      <c r="AA69" s="322">
        <f t="shared" si="57"/>
        <v>0</v>
      </c>
      <c r="AB69" s="322">
        <f t="shared" si="58"/>
        <v>0</v>
      </c>
      <c r="AC69" s="415">
        <f t="shared" si="61"/>
        <v>223</v>
      </c>
      <c r="AD69" s="421"/>
    </row>
    <row r="70" spans="1:30" x14ac:dyDescent="0.2">
      <c r="A70" s="322" t="str">
        <f>+EST_ITM!A81</f>
        <v>Feb-Jun 2018</v>
      </c>
      <c r="B70" s="322">
        <f t="shared" ref="B70:B73" si="62">+VLOOKUP(A70,sabana,$B$2,FALSE)</f>
        <v>0</v>
      </c>
      <c r="C70" s="322">
        <f t="shared" ref="C70:C73" si="63">+VLOOKUP(A70,sabana,$C$2,FALSE)</f>
        <v>0</v>
      </c>
      <c r="D70" s="322">
        <f t="shared" ref="D70:D73" si="64">+VLOOKUP(A70,sabana,$D$2,FALSE)</f>
        <v>0</v>
      </c>
      <c r="E70" s="322">
        <f t="shared" ref="E70:E73" si="65">+VLOOKUP(A70,sabana,$E$2,FALSE)</f>
        <v>0</v>
      </c>
      <c r="F70" s="322">
        <f t="shared" ref="F70:F73" si="66">+VLOOKUP(A70,sabana,$F$2,FALSE)</f>
        <v>0</v>
      </c>
      <c r="G70" s="322">
        <f t="shared" ref="G70:G73" si="67">+VLOOKUP(A70,sabana,$G$2,FALSE)</f>
        <v>0</v>
      </c>
      <c r="H70" s="322">
        <f t="shared" ref="H70:H73" si="68">+VLOOKUP(A70,sabana,H$2,FALSE)</f>
        <v>0</v>
      </c>
      <c r="I70" s="322">
        <f t="shared" ref="I70:I73" si="69">+VLOOKUP(A70,sabana,I$2,FALSE)</f>
        <v>0</v>
      </c>
      <c r="J70" s="322">
        <f t="shared" ref="J70:J73" si="70">+VLOOKUP(A70,sabana,J$2,FALSE)</f>
        <v>1</v>
      </c>
      <c r="K70" s="322">
        <f t="shared" ref="K70:K73" si="71">+VLOOKUP(A70,sabana,K$2,FALSE)</f>
        <v>0</v>
      </c>
      <c r="L70" s="322">
        <f t="shared" ref="L70:L73" si="72">+VLOOKUP(A70,sabana,L$2,FALSE)</f>
        <v>1</v>
      </c>
      <c r="M70" s="322">
        <f t="shared" ref="M70:M73" si="73">+VLOOKUP(A70,sabana,M$2,FALSE)</f>
        <v>0</v>
      </c>
      <c r="N70" s="322">
        <f t="shared" ref="N70:N73" si="74">+VLOOKUP(A70,sabana,N$2,FALSE)</f>
        <v>0</v>
      </c>
      <c r="O70" s="322">
        <f t="shared" ref="O70:O73" si="75">+VLOOKUP(A70,sabana,O$2,FALSE)</f>
        <v>20</v>
      </c>
      <c r="P70" s="322">
        <f t="shared" ref="P70:P73" si="76">+VLOOKUP(A70,sabana,P$2,FALSE)</f>
        <v>11</v>
      </c>
      <c r="Q70" s="322">
        <f t="shared" ref="Q70:Q73" si="77">+VLOOKUP(A70,sabana,Q$2,FALSE)</f>
        <v>8</v>
      </c>
      <c r="R70" s="322">
        <f t="shared" ref="R70:R73" si="78">+VLOOKUP(A70,sabana,R$2,FALSE)</f>
        <v>8</v>
      </c>
      <c r="S70" s="322">
        <f t="shared" ref="S70:S73" si="79">+VLOOKUP(A70,sabana,S$2,FALSE)</f>
        <v>8</v>
      </c>
      <c r="T70" s="322">
        <f t="shared" ref="T70:T73" si="80">+VLOOKUP(A70,sabana,T$2,FALSE)</f>
        <v>13</v>
      </c>
      <c r="U70" s="322">
        <f t="shared" ref="U70:U73" si="81">+VLOOKUP(A70,sabana,U$2,FALSE)</f>
        <v>22</v>
      </c>
      <c r="V70" s="322">
        <f t="shared" ref="V70:V73" si="82">+VLOOKUP(A70,sabana,V$2,FALSE)</f>
        <v>53</v>
      </c>
      <c r="W70" s="322">
        <f t="shared" ref="W70:W73" si="83">+VLOOKUP(A70,sabana,W$2,FALSE)</f>
        <v>4</v>
      </c>
      <c r="X70" s="322">
        <f t="shared" ref="X70:X73" si="84">+VLOOKUP(A70,sabana,X$2,FALSE)</f>
        <v>24</v>
      </c>
      <c r="Y70" s="322">
        <f t="shared" ref="Y70:Y73" si="85">+VLOOKUP(A70,sabana,Y$2,FALSE)</f>
        <v>39</v>
      </c>
      <c r="Z70" s="322">
        <f t="shared" ref="Z70:Z73" si="86">+VLOOKUP(A70,sabana,Z$2,FALSE)</f>
        <v>14</v>
      </c>
      <c r="AA70" s="322">
        <f t="shared" ref="AA70:AA73" si="87">+VLOOKUP(A70,sabana,AA$2,FALSE)</f>
        <v>0</v>
      </c>
      <c r="AB70" s="322">
        <f t="shared" ref="AB70:AB73" si="88">+VLOOKUP(A70,sabana,AB$2,FALSE)</f>
        <v>3</v>
      </c>
      <c r="AC70" s="415">
        <f t="shared" ref="AC70:AC73" si="89">SUM(B70:AB70)</f>
        <v>229</v>
      </c>
    </row>
    <row r="71" spans="1:30" x14ac:dyDescent="0.2">
      <c r="A71" s="322" t="str">
        <f>+EST_ITM!A82</f>
        <v>Ago-Dic 2018</v>
      </c>
      <c r="B71" s="322">
        <f t="shared" si="62"/>
        <v>0</v>
      </c>
      <c r="C71" s="322">
        <f t="shared" si="63"/>
        <v>0</v>
      </c>
      <c r="D71" s="322">
        <f t="shared" si="64"/>
        <v>0</v>
      </c>
      <c r="E71" s="322">
        <f t="shared" si="65"/>
        <v>0</v>
      </c>
      <c r="F71" s="322">
        <f t="shared" si="66"/>
        <v>0</v>
      </c>
      <c r="G71" s="322">
        <f t="shared" si="67"/>
        <v>0</v>
      </c>
      <c r="H71" s="322">
        <f t="shared" si="68"/>
        <v>2</v>
      </c>
      <c r="I71" s="322">
        <f t="shared" si="69"/>
        <v>0</v>
      </c>
      <c r="J71" s="322">
        <f t="shared" si="70"/>
        <v>0</v>
      </c>
      <c r="K71" s="322">
        <f t="shared" si="71"/>
        <v>0</v>
      </c>
      <c r="L71" s="322">
        <f t="shared" si="72"/>
        <v>0</v>
      </c>
      <c r="M71" s="322">
        <f t="shared" si="73"/>
        <v>0</v>
      </c>
      <c r="N71" s="322">
        <f t="shared" si="74"/>
        <v>0</v>
      </c>
      <c r="O71" s="322">
        <f t="shared" si="75"/>
        <v>16</v>
      </c>
      <c r="P71" s="322">
        <f t="shared" si="76"/>
        <v>14</v>
      </c>
      <c r="Q71" s="322">
        <f t="shared" si="77"/>
        <v>16</v>
      </c>
      <c r="R71" s="322">
        <f t="shared" si="78"/>
        <v>13</v>
      </c>
      <c r="S71" s="322">
        <f t="shared" si="79"/>
        <v>6</v>
      </c>
      <c r="T71" s="322">
        <f t="shared" si="80"/>
        <v>14</v>
      </c>
      <c r="U71" s="322">
        <f t="shared" si="81"/>
        <v>25</v>
      </c>
      <c r="V71" s="322">
        <f t="shared" si="82"/>
        <v>61</v>
      </c>
      <c r="W71" s="322">
        <f t="shared" si="83"/>
        <v>1</v>
      </c>
      <c r="X71" s="322">
        <f t="shared" si="84"/>
        <v>18</v>
      </c>
      <c r="Y71" s="322">
        <f t="shared" si="85"/>
        <v>36</v>
      </c>
      <c r="Z71" s="322">
        <f t="shared" si="86"/>
        <v>21</v>
      </c>
      <c r="AA71" s="322">
        <f t="shared" si="87"/>
        <v>0</v>
      </c>
      <c r="AB71" s="322">
        <f t="shared" si="88"/>
        <v>3</v>
      </c>
      <c r="AC71" s="415">
        <f t="shared" si="89"/>
        <v>246</v>
      </c>
    </row>
    <row r="72" spans="1:30" x14ac:dyDescent="0.2">
      <c r="A72" s="322" t="str">
        <f>+EST_ITM!A83</f>
        <v>Feb-Jun 2019</v>
      </c>
      <c r="B72" s="322">
        <f t="shared" si="62"/>
        <v>0</v>
      </c>
      <c r="C72" s="322">
        <f t="shared" si="63"/>
        <v>0</v>
      </c>
      <c r="D72" s="322">
        <f t="shared" si="64"/>
        <v>0</v>
      </c>
      <c r="E72" s="322">
        <f t="shared" si="65"/>
        <v>0</v>
      </c>
      <c r="F72" s="322">
        <f t="shared" si="66"/>
        <v>0</v>
      </c>
      <c r="G72" s="322">
        <f t="shared" si="67"/>
        <v>0</v>
      </c>
      <c r="H72" s="322">
        <f t="shared" si="68"/>
        <v>0</v>
      </c>
      <c r="I72" s="322">
        <f t="shared" si="69"/>
        <v>0</v>
      </c>
      <c r="J72" s="322">
        <f t="shared" si="70"/>
        <v>0</v>
      </c>
      <c r="K72" s="322">
        <f t="shared" si="71"/>
        <v>0</v>
      </c>
      <c r="L72" s="322">
        <f t="shared" si="72"/>
        <v>0</v>
      </c>
      <c r="M72" s="322">
        <f t="shared" si="73"/>
        <v>0</v>
      </c>
      <c r="N72" s="322">
        <f t="shared" si="74"/>
        <v>0</v>
      </c>
      <c r="O72" s="322">
        <f t="shared" si="75"/>
        <v>10</v>
      </c>
      <c r="P72" s="322">
        <f t="shared" si="76"/>
        <v>17</v>
      </c>
      <c r="Q72" s="322">
        <f t="shared" si="77"/>
        <v>15</v>
      </c>
      <c r="R72" s="322">
        <f t="shared" si="78"/>
        <v>18</v>
      </c>
      <c r="S72" s="322">
        <f t="shared" si="79"/>
        <v>6</v>
      </c>
      <c r="T72" s="322">
        <f t="shared" si="80"/>
        <v>15</v>
      </c>
      <c r="U72" s="322">
        <f t="shared" si="81"/>
        <v>18</v>
      </c>
      <c r="V72" s="322">
        <f t="shared" si="82"/>
        <v>51</v>
      </c>
      <c r="W72" s="322">
        <f t="shared" si="83"/>
        <v>0</v>
      </c>
      <c r="X72" s="322">
        <f t="shared" si="84"/>
        <v>30</v>
      </c>
      <c r="Y72" s="322">
        <f t="shared" si="85"/>
        <v>44</v>
      </c>
      <c r="Z72" s="322">
        <f t="shared" si="86"/>
        <v>10</v>
      </c>
      <c r="AA72" s="322">
        <f t="shared" si="87"/>
        <v>0</v>
      </c>
      <c r="AB72" s="322">
        <f t="shared" si="88"/>
        <v>1</v>
      </c>
      <c r="AC72" s="415">
        <f t="shared" si="89"/>
        <v>235</v>
      </c>
    </row>
    <row r="73" spans="1:30" x14ac:dyDescent="0.2">
      <c r="B73" s="322">
        <f t="shared" si="62"/>
        <v>0</v>
      </c>
      <c r="C73" s="322">
        <f t="shared" si="63"/>
        <v>0</v>
      </c>
      <c r="D73" s="322">
        <f t="shared" si="64"/>
        <v>0</v>
      </c>
      <c r="E73" s="322">
        <f t="shared" si="65"/>
        <v>0</v>
      </c>
      <c r="F73" s="322">
        <f t="shared" si="66"/>
        <v>0</v>
      </c>
      <c r="G73" s="322">
        <f t="shared" si="67"/>
        <v>0</v>
      </c>
      <c r="H73" s="322">
        <f t="shared" si="68"/>
        <v>0</v>
      </c>
      <c r="I73" s="322">
        <f t="shared" si="69"/>
        <v>0</v>
      </c>
      <c r="J73" s="322">
        <f t="shared" si="70"/>
        <v>0</v>
      </c>
      <c r="K73" s="322">
        <f t="shared" si="71"/>
        <v>0</v>
      </c>
      <c r="L73" s="322">
        <f t="shared" si="72"/>
        <v>0</v>
      </c>
      <c r="M73" s="322">
        <f t="shared" si="73"/>
        <v>0</v>
      </c>
      <c r="N73" s="322">
        <f t="shared" si="74"/>
        <v>0</v>
      </c>
      <c r="O73" s="322">
        <f t="shared" si="75"/>
        <v>0</v>
      </c>
      <c r="P73" s="322">
        <f t="shared" si="76"/>
        <v>0</v>
      </c>
      <c r="Q73" s="322">
        <f t="shared" si="77"/>
        <v>0</v>
      </c>
      <c r="R73" s="322">
        <f t="shared" si="78"/>
        <v>0</v>
      </c>
      <c r="S73" s="322">
        <f t="shared" si="79"/>
        <v>0</v>
      </c>
      <c r="T73" s="322">
        <f t="shared" si="80"/>
        <v>0</v>
      </c>
      <c r="U73" s="322">
        <f t="shared" si="81"/>
        <v>0</v>
      </c>
      <c r="V73" s="322">
        <f t="shared" si="82"/>
        <v>0</v>
      </c>
      <c r="W73" s="322">
        <f t="shared" si="83"/>
        <v>0</v>
      </c>
      <c r="X73" s="322">
        <f t="shared" si="84"/>
        <v>0</v>
      </c>
      <c r="Y73" s="322">
        <f t="shared" si="85"/>
        <v>0</v>
      </c>
      <c r="Z73" s="322">
        <f t="shared" si="86"/>
        <v>0</v>
      </c>
      <c r="AA73" s="322">
        <f t="shared" si="87"/>
        <v>0</v>
      </c>
      <c r="AB73" s="322">
        <f t="shared" si="88"/>
        <v>0</v>
      </c>
      <c r="AC73" s="415">
        <f t="shared" si="89"/>
        <v>0</v>
      </c>
    </row>
  </sheetData>
  <mergeCells count="2">
    <mergeCell ref="AE4:AH4"/>
    <mergeCell ref="AE3:AH3"/>
  </mergeCells>
  <conditionalFormatting sqref="F3:AC3 F4:AB6">
    <cfRule type="cellIs" dxfId="6" priority="4" stopIfTrue="1" operator="lessThan">
      <formula>0</formula>
    </cfRule>
  </conditionalFormatting>
  <conditionalFormatting sqref="AE10">
    <cfRule type="cellIs" dxfId="5" priority="3" stopIfTrue="1" operator="lessThan">
      <formula>0</formula>
    </cfRule>
  </conditionalFormatting>
  <conditionalFormatting sqref="AE6:AE9">
    <cfRule type="cellIs" dxfId="4" priority="1" stopIfTrue="1" operator="lessThan">
      <formula>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9"/>
  <sheetViews>
    <sheetView topLeftCell="B25" workbookViewId="0">
      <selection activeCell="F45" sqref="F45"/>
    </sheetView>
  </sheetViews>
  <sheetFormatPr baseColWidth="10" defaultRowHeight="12.75" x14ac:dyDescent="0.2"/>
  <cols>
    <col min="1" max="1" width="10.140625" customWidth="1"/>
    <col min="2" max="13" width="15.7109375" customWidth="1"/>
    <col min="14" max="17" width="0" hidden="1" customWidth="1"/>
  </cols>
  <sheetData>
    <row r="2" spans="1:17" ht="18" x14ac:dyDescent="0.25">
      <c r="B2" s="351" t="s">
        <v>199</v>
      </c>
    </row>
    <row r="3" spans="1:17" s="352" customFormat="1" ht="33.75" x14ac:dyDescent="0.2">
      <c r="A3" s="355" t="s">
        <v>201</v>
      </c>
      <c r="B3" s="355" t="s">
        <v>87</v>
      </c>
      <c r="C3" s="355" t="s">
        <v>88</v>
      </c>
      <c r="D3" s="355" t="s">
        <v>89</v>
      </c>
      <c r="E3" s="355" t="s">
        <v>7</v>
      </c>
      <c r="F3" s="355" t="s">
        <v>6</v>
      </c>
      <c r="G3" s="355" t="s">
        <v>105</v>
      </c>
      <c r="H3" s="355" t="s">
        <v>194</v>
      </c>
      <c r="I3" s="355" t="s">
        <v>8</v>
      </c>
      <c r="J3" s="355" t="s">
        <v>90</v>
      </c>
      <c r="K3" s="355" t="s">
        <v>9</v>
      </c>
      <c r="L3" s="355" t="s">
        <v>74</v>
      </c>
      <c r="M3" s="355" t="s">
        <v>11</v>
      </c>
      <c r="N3" s="353"/>
      <c r="O3" s="353"/>
      <c r="P3" s="353"/>
      <c r="Q3" s="354"/>
    </row>
    <row r="4" spans="1:17" x14ac:dyDescent="0.2">
      <c r="A4" s="250" t="s">
        <v>98</v>
      </c>
      <c r="B4">
        <f>+EST_ITM!BO76</f>
        <v>43</v>
      </c>
      <c r="C4">
        <f>+EST_ITM!BU76</f>
        <v>33</v>
      </c>
      <c r="D4">
        <f>+EST_ITM!CA76</f>
        <v>36</v>
      </c>
      <c r="E4">
        <f>+EST_ITM!CG76</f>
        <v>35</v>
      </c>
      <c r="F4">
        <f>+EST_ITM!CM76</f>
        <v>35</v>
      </c>
      <c r="G4">
        <f>+EST_ITM!CS76</f>
        <v>37</v>
      </c>
      <c r="H4">
        <f>+EST_ITM!CY76</f>
        <v>94</v>
      </c>
      <c r="I4">
        <f>+EST_ITM!DE76</f>
        <v>145</v>
      </c>
      <c r="J4">
        <f>+EST_ITM!DK76</f>
        <v>0</v>
      </c>
      <c r="K4">
        <f>+EST_ITM!DQ76</f>
        <v>111</v>
      </c>
      <c r="L4">
        <f>+EST_ITM!DW76</f>
        <v>108</v>
      </c>
      <c r="M4">
        <f>+EST_ITM!EC76</f>
        <v>37</v>
      </c>
    </row>
    <row r="5" spans="1:17" x14ac:dyDescent="0.2">
      <c r="A5" s="250" t="s">
        <v>99</v>
      </c>
      <c r="B5">
        <f>+EST_ITM!BO77</f>
        <v>23</v>
      </c>
      <c r="C5">
        <f>+EST_ITM!BU77</f>
        <v>23</v>
      </c>
      <c r="D5">
        <f>+EST_ITM!CA77</f>
        <v>15</v>
      </c>
      <c r="E5">
        <f>+EST_ITM!CG77</f>
        <v>14</v>
      </c>
      <c r="F5">
        <f>+EST_ITM!CM77</f>
        <v>7</v>
      </c>
      <c r="G5">
        <f>+EST_ITM!CS77</f>
        <v>27</v>
      </c>
      <c r="H5">
        <f>+EST_ITM!CY77</f>
        <v>24</v>
      </c>
      <c r="I5">
        <f>+EST_ITM!DE77</f>
        <v>118</v>
      </c>
      <c r="J5">
        <f>+EST_ITM!DK77</f>
        <v>0</v>
      </c>
      <c r="K5">
        <f>+EST_ITM!DQ77</f>
        <v>41</v>
      </c>
      <c r="L5">
        <f>+EST_ITM!DW77</f>
        <v>39</v>
      </c>
      <c r="M5">
        <f>+EST_ITM!EC77</f>
        <v>37</v>
      </c>
    </row>
    <row r="6" spans="1:17" x14ac:dyDescent="0.2">
      <c r="A6" s="250" t="s">
        <v>100</v>
      </c>
      <c r="B6">
        <f>+EST_ITM!BO78</f>
        <v>63</v>
      </c>
      <c r="C6">
        <f>+EST_ITM!BU78</f>
        <v>37</v>
      </c>
      <c r="D6">
        <f>+EST_ITM!CA78</f>
        <v>43</v>
      </c>
      <c r="E6">
        <f>+EST_ITM!CG78</f>
        <v>47</v>
      </c>
      <c r="F6">
        <f>+EST_ITM!CM78</f>
        <v>36</v>
      </c>
      <c r="G6">
        <f>+EST_ITM!CS78</f>
        <v>63</v>
      </c>
      <c r="H6">
        <f>+EST_ITM!CY78</f>
        <v>102</v>
      </c>
      <c r="I6">
        <f>+EST_ITM!DE78</f>
        <v>138</v>
      </c>
      <c r="J6">
        <f>+EST_ITM!DK78</f>
        <v>0</v>
      </c>
      <c r="K6">
        <f>+EST_ITM!DQ78</f>
        <v>95</v>
      </c>
      <c r="L6">
        <f>+EST_ITM!DW78</f>
        <v>139</v>
      </c>
      <c r="M6">
        <f>+EST_ITM!EC78</f>
        <v>64</v>
      </c>
    </row>
    <row r="7" spans="1:17" x14ac:dyDescent="0.2">
      <c r="A7" s="250" t="s">
        <v>101</v>
      </c>
      <c r="B7">
        <f>+EST_ITM!BO79</f>
        <v>37</v>
      </c>
      <c r="C7">
        <f>+EST_ITM!BU79</f>
        <v>38</v>
      </c>
      <c r="D7">
        <f>+EST_ITM!CA79</f>
        <v>0</v>
      </c>
      <c r="E7">
        <f>+EST_ITM!CG79</f>
        <v>33</v>
      </c>
      <c r="F7">
        <f>+EST_ITM!CM79</f>
        <v>0</v>
      </c>
      <c r="G7">
        <f>+EST_ITM!CS79</f>
        <v>30</v>
      </c>
      <c r="H7">
        <f>+EST_ITM!CY79</f>
        <v>34</v>
      </c>
      <c r="I7">
        <f>+EST_ITM!DE79</f>
        <v>80</v>
      </c>
      <c r="J7">
        <f>+EST_ITM!DK79</f>
        <v>0</v>
      </c>
      <c r="K7">
        <f>+EST_ITM!DQ79</f>
        <v>36</v>
      </c>
      <c r="L7">
        <f>+EST_ITM!DW79</f>
        <v>40</v>
      </c>
      <c r="M7">
        <f>+EST_ITM!EC79</f>
        <v>32</v>
      </c>
    </row>
    <row r="8" spans="1:17" x14ac:dyDescent="0.2">
      <c r="A8" s="250" t="s">
        <v>102</v>
      </c>
      <c r="B8">
        <f>+EST_ITM!BO80</f>
        <v>45</v>
      </c>
      <c r="C8">
        <f>+EST_ITM!BU80</f>
        <v>45</v>
      </c>
      <c r="D8">
        <f>+EST_ITM!CA80</f>
        <v>43</v>
      </c>
      <c r="E8">
        <f>+EST_ITM!CG80</f>
        <v>43</v>
      </c>
      <c r="F8">
        <f>+EST_ITM!CM80</f>
        <v>42</v>
      </c>
      <c r="G8">
        <f>+EST_ITM!CS80</f>
        <v>82</v>
      </c>
      <c r="H8">
        <f>+EST_ITM!CY80</f>
        <v>127</v>
      </c>
      <c r="I8">
        <f>+EST_ITM!DE80</f>
        <v>129</v>
      </c>
      <c r="J8">
        <f>+EST_ITM!DK80</f>
        <v>0</v>
      </c>
      <c r="K8">
        <f>+EST_ITM!DQ80</f>
        <v>121</v>
      </c>
      <c r="L8">
        <f>+EST_ITM!DW80</f>
        <v>126</v>
      </c>
      <c r="M8">
        <f>+EST_ITM!EC80</f>
        <v>47</v>
      </c>
    </row>
    <row r="9" spans="1:17" x14ac:dyDescent="0.2">
      <c r="A9" s="250" t="s">
        <v>103</v>
      </c>
      <c r="B9">
        <f>+EST_ITM!BO81</f>
        <v>39</v>
      </c>
      <c r="C9">
        <f>+EST_ITM!BU81</f>
        <v>29</v>
      </c>
      <c r="D9">
        <f>+EST_ITM!CA81</f>
        <v>31</v>
      </c>
      <c r="E9">
        <f>+EST_ITM!CG81</f>
        <v>20</v>
      </c>
      <c r="F9">
        <f>+EST_ITM!CM81</f>
        <v>0</v>
      </c>
      <c r="G9">
        <f>+EST_ITM!CS81</f>
        <v>17</v>
      </c>
      <c r="H9">
        <f>+EST_ITM!CY81</f>
        <v>31</v>
      </c>
      <c r="I9">
        <f>+EST_ITM!DE81</f>
        <v>39</v>
      </c>
      <c r="J9">
        <f>+EST_ITM!DK81</f>
        <v>0</v>
      </c>
      <c r="K9">
        <f>+EST_ITM!DQ81</f>
        <v>32</v>
      </c>
      <c r="L9">
        <f>+EST_ITM!DW81</f>
        <v>34</v>
      </c>
      <c r="M9">
        <f>+EST_ITM!EC81</f>
        <v>37</v>
      </c>
    </row>
    <row r="10" spans="1:17" x14ac:dyDescent="0.2">
      <c r="A10" s="250" t="s">
        <v>104</v>
      </c>
      <c r="B10">
        <f>+EST_ITM!BO82</f>
        <v>39</v>
      </c>
      <c r="C10">
        <f>+EST_ITM!BU82</f>
        <v>43</v>
      </c>
      <c r="D10">
        <f>+EST_ITM!CA82</f>
        <v>41</v>
      </c>
      <c r="E10">
        <f>+EST_ITM!CG82</f>
        <v>40</v>
      </c>
      <c r="F10">
        <f>+EST_ITM!CM82</f>
        <v>41</v>
      </c>
      <c r="G10">
        <f>+EST_ITM!CS82</f>
        <v>39</v>
      </c>
      <c r="H10">
        <f>+EST_ITM!CY82</f>
        <v>84</v>
      </c>
      <c r="I10">
        <f>+EST_ITM!DE82</f>
        <v>87</v>
      </c>
      <c r="J10">
        <f>+EST_ITM!DK82</f>
        <v>0</v>
      </c>
      <c r="K10">
        <f>+EST_ITM!DQ82</f>
        <v>86</v>
      </c>
      <c r="L10">
        <f>+EST_ITM!DW82</f>
        <v>85</v>
      </c>
      <c r="M10">
        <f>+EST_ITM!EC82</f>
        <v>44</v>
      </c>
    </row>
    <row r="11" spans="1:17" x14ac:dyDescent="0.2">
      <c r="A11" s="250" t="s">
        <v>134</v>
      </c>
      <c r="B11">
        <f>+EST_ITM!BO83</f>
        <v>39</v>
      </c>
      <c r="C11">
        <f>+EST_ITM!BU83</f>
        <v>37</v>
      </c>
      <c r="D11">
        <f>+EST_ITM!CA83</f>
        <v>36</v>
      </c>
      <c r="E11">
        <f>+EST_ITM!CG83</f>
        <v>25</v>
      </c>
      <c r="F11">
        <f>+EST_ITM!CM83</f>
        <v>29</v>
      </c>
      <c r="G11">
        <f>+EST_ITM!CS83</f>
        <v>33</v>
      </c>
      <c r="H11">
        <f>+EST_ITM!CY83</f>
        <v>38</v>
      </c>
      <c r="I11">
        <f>+EST_ITM!DE83</f>
        <v>37</v>
      </c>
      <c r="J11">
        <f>+EST_ITM!DK83</f>
        <v>0</v>
      </c>
      <c r="K11">
        <f>+EST_ITM!DQ83</f>
        <v>36</v>
      </c>
      <c r="L11">
        <f>+EST_ITM!DW83</f>
        <v>41</v>
      </c>
      <c r="M11">
        <f>+EST_ITM!EC83</f>
        <v>38</v>
      </c>
    </row>
    <row r="12" spans="1:17" x14ac:dyDescent="0.2">
      <c r="A12" s="250" t="s">
        <v>141</v>
      </c>
      <c r="B12">
        <f>+EST_ITM!BO84</f>
        <v>41</v>
      </c>
      <c r="C12">
        <f>+EST_ITM!BU84</f>
        <v>33</v>
      </c>
      <c r="D12">
        <f>+EST_ITM!CA84</f>
        <v>63</v>
      </c>
      <c r="E12">
        <f>+EST_ITM!CG84</f>
        <v>35</v>
      </c>
      <c r="F12">
        <f>+EST_ITM!CM84</f>
        <v>33</v>
      </c>
      <c r="G12">
        <f>+EST_ITM!CS84</f>
        <v>32</v>
      </c>
      <c r="H12">
        <f>+EST_ITM!CY84</f>
        <v>79</v>
      </c>
      <c r="I12">
        <f>+EST_ITM!DE84</f>
        <v>81</v>
      </c>
      <c r="J12">
        <f>+EST_ITM!DK84</f>
        <v>0</v>
      </c>
      <c r="K12">
        <f>+EST_ITM!DQ84</f>
        <v>84</v>
      </c>
      <c r="L12">
        <f>+EST_ITM!DW84</f>
        <v>71</v>
      </c>
      <c r="M12">
        <f>+EST_ITM!EC84</f>
        <v>39</v>
      </c>
    </row>
    <row r="13" spans="1:17" x14ac:dyDescent="0.2">
      <c r="A13" s="250" t="s">
        <v>135</v>
      </c>
      <c r="B13">
        <f>+EST_ITM!BO85</f>
        <v>20</v>
      </c>
      <c r="C13">
        <f>+EST_ITM!BU85</f>
        <v>15</v>
      </c>
      <c r="D13">
        <f>+EST_ITM!CA85</f>
        <v>35</v>
      </c>
      <c r="E13">
        <f>+EST_ITM!CG85</f>
        <v>20</v>
      </c>
      <c r="F13">
        <f>+EST_ITM!CM85</f>
        <v>20</v>
      </c>
      <c r="G13">
        <f>+EST_ITM!CS85</f>
        <v>15</v>
      </c>
      <c r="H13">
        <f>+EST_ITM!CY85</f>
        <v>25</v>
      </c>
      <c r="I13">
        <f>+EST_ITM!DE85</f>
        <v>80</v>
      </c>
      <c r="J13">
        <f>+EST_ITM!DK85</f>
        <v>0</v>
      </c>
      <c r="K13">
        <f>+EST_ITM!DQ85</f>
        <v>20</v>
      </c>
      <c r="L13">
        <f>+EST_ITM!DW85</f>
        <v>40</v>
      </c>
      <c r="M13">
        <f>+EST_ITM!EC85</f>
        <v>20</v>
      </c>
    </row>
    <row r="14" spans="1:17" x14ac:dyDescent="0.2">
      <c r="A14" s="250" t="s">
        <v>142</v>
      </c>
      <c r="B14">
        <f>+EST_ITM!BO86</f>
        <v>35</v>
      </c>
      <c r="C14">
        <f>+EST_ITM!BU86</f>
        <v>35</v>
      </c>
      <c r="D14">
        <f>+EST_ITM!CA86</f>
        <v>70</v>
      </c>
      <c r="E14">
        <f>+EST_ITM!CG86</f>
        <v>50</v>
      </c>
      <c r="F14">
        <f>+EST_ITM!CM86</f>
        <v>40</v>
      </c>
      <c r="G14">
        <f>+EST_ITM!CS86</f>
        <v>50</v>
      </c>
      <c r="H14">
        <f>+EST_ITM!CY86</f>
        <v>90</v>
      </c>
      <c r="I14">
        <f>+EST_ITM!DE86</f>
        <v>160</v>
      </c>
      <c r="J14">
        <f>+EST_ITM!DK86</f>
        <v>0</v>
      </c>
      <c r="K14">
        <f>+EST_ITM!DQ86</f>
        <v>80</v>
      </c>
      <c r="L14">
        <f>+EST_ITM!DW86</f>
        <v>160</v>
      </c>
      <c r="M14">
        <f>+EST_ITM!EC86</f>
        <v>70</v>
      </c>
    </row>
    <row r="15" spans="1:17" x14ac:dyDescent="0.2">
      <c r="A15" s="250" t="s">
        <v>136</v>
      </c>
      <c r="B15">
        <f>+EST_ITM!BO87</f>
        <v>20</v>
      </c>
      <c r="C15">
        <f>+EST_ITM!BU87</f>
        <v>15</v>
      </c>
      <c r="D15">
        <f>+EST_ITM!CA87</f>
        <v>35</v>
      </c>
      <c r="E15">
        <f>+EST_ITM!CG87</f>
        <v>20</v>
      </c>
      <c r="F15">
        <f>+EST_ITM!CM87</f>
        <v>20</v>
      </c>
      <c r="G15">
        <f>+EST_ITM!CS87</f>
        <v>15</v>
      </c>
      <c r="H15">
        <f>+EST_ITM!CY87</f>
        <v>25</v>
      </c>
      <c r="I15">
        <f>+EST_ITM!DE87</f>
        <v>80</v>
      </c>
      <c r="J15">
        <f>+EST_ITM!DK87</f>
        <v>0</v>
      </c>
      <c r="K15">
        <f>+EST_ITM!DQ87</f>
        <v>20</v>
      </c>
      <c r="L15">
        <f>+EST_ITM!DW87</f>
        <v>40</v>
      </c>
      <c r="M15">
        <f>+EST_ITM!EC87</f>
        <v>20</v>
      </c>
    </row>
    <row r="16" spans="1:17" x14ac:dyDescent="0.2">
      <c r="A16" s="250" t="s">
        <v>143</v>
      </c>
      <c r="B16">
        <f>+EST_ITM!BO88</f>
        <v>35</v>
      </c>
      <c r="C16">
        <f>+EST_ITM!BU88</f>
        <v>35</v>
      </c>
      <c r="D16">
        <f>+EST_ITM!CA88</f>
        <v>70</v>
      </c>
      <c r="E16">
        <f>+EST_ITM!CG88</f>
        <v>50</v>
      </c>
      <c r="F16">
        <f>+EST_ITM!CM88</f>
        <v>40</v>
      </c>
      <c r="G16">
        <f>+EST_ITM!CS88</f>
        <v>50</v>
      </c>
      <c r="H16">
        <f>+EST_ITM!CY88</f>
        <v>90</v>
      </c>
      <c r="I16">
        <f>+EST_ITM!DE88</f>
        <v>160</v>
      </c>
      <c r="J16">
        <f>+EST_ITM!DK88</f>
        <v>0</v>
      </c>
      <c r="K16">
        <f>+EST_ITM!DQ88</f>
        <v>80</v>
      </c>
      <c r="L16">
        <f>+EST_ITM!DW88</f>
        <v>160</v>
      </c>
      <c r="M16">
        <f>+EST_ITM!EC88</f>
        <v>70</v>
      </c>
    </row>
    <row r="17" spans="1:13" x14ac:dyDescent="0.2">
      <c r="A17" s="250" t="s">
        <v>137</v>
      </c>
      <c r="B17">
        <f>+EST_ITM!BO89</f>
        <v>20</v>
      </c>
      <c r="C17">
        <f>+EST_ITM!BU89</f>
        <v>15</v>
      </c>
      <c r="D17">
        <f>+EST_ITM!CA89</f>
        <v>35</v>
      </c>
      <c r="E17">
        <f>+EST_ITM!CG89</f>
        <v>20</v>
      </c>
      <c r="F17">
        <f>+EST_ITM!CM89</f>
        <v>20</v>
      </c>
      <c r="G17">
        <f>+EST_ITM!CS89</f>
        <v>15</v>
      </c>
      <c r="H17">
        <f>+EST_ITM!CY89</f>
        <v>25</v>
      </c>
      <c r="I17">
        <f>+EST_ITM!DE89</f>
        <v>80</v>
      </c>
      <c r="J17">
        <f>+EST_ITM!DK89</f>
        <v>0</v>
      </c>
      <c r="K17">
        <f>+EST_ITM!DQ89</f>
        <v>20</v>
      </c>
      <c r="L17">
        <f>+EST_ITM!DW89</f>
        <v>40</v>
      </c>
      <c r="M17">
        <f>+EST_ITM!EC89</f>
        <v>20</v>
      </c>
    </row>
    <row r="18" spans="1:13" x14ac:dyDescent="0.2">
      <c r="A18" s="250" t="s">
        <v>144</v>
      </c>
      <c r="B18">
        <f>+EST_ITM!BO90</f>
        <v>35</v>
      </c>
      <c r="C18">
        <f>+EST_ITM!BU90</f>
        <v>35</v>
      </c>
      <c r="D18">
        <f>+EST_ITM!CA90</f>
        <v>70</v>
      </c>
      <c r="E18">
        <f>+EST_ITM!CG90</f>
        <v>50</v>
      </c>
      <c r="F18">
        <f>+EST_ITM!CM90</f>
        <v>40</v>
      </c>
      <c r="G18">
        <f>+EST_ITM!CS90</f>
        <v>50</v>
      </c>
      <c r="H18">
        <f>+EST_ITM!CY90</f>
        <v>90</v>
      </c>
      <c r="I18">
        <f>+EST_ITM!DE90</f>
        <v>160</v>
      </c>
      <c r="J18">
        <f>+EST_ITM!DK90</f>
        <v>0</v>
      </c>
      <c r="K18">
        <f>+EST_ITM!DQ90</f>
        <v>80</v>
      </c>
      <c r="L18">
        <f>+EST_ITM!DW90</f>
        <v>160</v>
      </c>
      <c r="M18">
        <f>+EST_ITM!EC90</f>
        <v>70</v>
      </c>
    </row>
    <row r="19" spans="1:13" x14ac:dyDescent="0.2">
      <c r="A19" s="250" t="s">
        <v>138</v>
      </c>
      <c r="B19">
        <f>+EST_ITM!BO91</f>
        <v>20</v>
      </c>
      <c r="C19">
        <f>+EST_ITM!BU91</f>
        <v>15</v>
      </c>
      <c r="D19">
        <f>+EST_ITM!CA91</f>
        <v>35</v>
      </c>
      <c r="E19">
        <f>+EST_ITM!CG91</f>
        <v>20</v>
      </c>
      <c r="F19">
        <f>+EST_ITM!CM91</f>
        <v>20</v>
      </c>
      <c r="G19">
        <f>+EST_ITM!CS91</f>
        <v>15</v>
      </c>
      <c r="H19">
        <f>+EST_ITM!CY91</f>
        <v>25</v>
      </c>
      <c r="I19">
        <f>+EST_ITM!DE91</f>
        <v>80</v>
      </c>
      <c r="J19">
        <f>+EST_ITM!DK91</f>
        <v>0</v>
      </c>
      <c r="K19">
        <f>+EST_ITM!DQ91</f>
        <v>20</v>
      </c>
      <c r="L19">
        <f>+EST_ITM!DW91</f>
        <v>40</v>
      </c>
      <c r="M19">
        <f>+EST_ITM!EC91</f>
        <v>20</v>
      </c>
    </row>
    <row r="20" spans="1:13" x14ac:dyDescent="0.2">
      <c r="A20" s="250" t="s">
        <v>145</v>
      </c>
      <c r="B20">
        <f>+EST_ITM!BO92</f>
        <v>35</v>
      </c>
      <c r="C20">
        <f>+EST_ITM!BU92</f>
        <v>35</v>
      </c>
      <c r="D20">
        <f>+EST_ITM!CA92</f>
        <v>70</v>
      </c>
      <c r="E20">
        <f>+EST_ITM!CG92</f>
        <v>50</v>
      </c>
      <c r="F20">
        <f>+EST_ITM!CM92</f>
        <v>40</v>
      </c>
      <c r="G20">
        <f>+EST_ITM!CS92</f>
        <v>50</v>
      </c>
      <c r="H20">
        <f>+EST_ITM!CY92</f>
        <v>90</v>
      </c>
      <c r="I20">
        <f>+EST_ITM!DE92</f>
        <v>160</v>
      </c>
      <c r="J20">
        <f>+EST_ITM!DK92</f>
        <v>0</v>
      </c>
      <c r="K20">
        <f>+EST_ITM!DQ92</f>
        <v>80</v>
      </c>
      <c r="L20">
        <f>+EST_ITM!DW92</f>
        <v>160</v>
      </c>
      <c r="M20">
        <f>+EST_ITM!EC92</f>
        <v>70</v>
      </c>
    </row>
    <row r="21" spans="1:13" x14ac:dyDescent="0.2">
      <c r="A21" s="250" t="s">
        <v>139</v>
      </c>
      <c r="B21">
        <f>+EST_ITM!BO93</f>
        <v>20</v>
      </c>
      <c r="C21">
        <f>+EST_ITM!BU93</f>
        <v>15</v>
      </c>
      <c r="D21">
        <f>+EST_ITM!CA93</f>
        <v>35</v>
      </c>
      <c r="E21">
        <f>+EST_ITM!CG93</f>
        <v>20</v>
      </c>
      <c r="F21">
        <f>+EST_ITM!CM93</f>
        <v>20</v>
      </c>
      <c r="G21">
        <f>+EST_ITM!CS93</f>
        <v>15</v>
      </c>
      <c r="H21">
        <f>+EST_ITM!CY93</f>
        <v>25</v>
      </c>
      <c r="I21">
        <f>+EST_ITM!DE93</f>
        <v>80</v>
      </c>
      <c r="J21">
        <f>+EST_ITM!DK93</f>
        <v>0</v>
      </c>
      <c r="K21">
        <f>+EST_ITM!DQ93</f>
        <v>20</v>
      </c>
      <c r="L21">
        <f>+EST_ITM!DW93</f>
        <v>40</v>
      </c>
      <c r="M21">
        <f>+EST_ITM!EC93</f>
        <v>20</v>
      </c>
    </row>
    <row r="22" spans="1:13" x14ac:dyDescent="0.2">
      <c r="A22" s="250" t="s">
        <v>146</v>
      </c>
      <c r="B22">
        <f>+EST_ITM!BO94</f>
        <v>35</v>
      </c>
      <c r="C22">
        <f>+EST_ITM!BU94</f>
        <v>35</v>
      </c>
      <c r="D22">
        <f>+EST_ITM!CA94</f>
        <v>70</v>
      </c>
      <c r="E22">
        <f>+EST_ITM!CG94</f>
        <v>50</v>
      </c>
      <c r="F22">
        <f>+EST_ITM!CM94</f>
        <v>40</v>
      </c>
      <c r="G22">
        <f>+EST_ITM!CS94</f>
        <v>50</v>
      </c>
      <c r="H22">
        <f>+EST_ITM!CY94</f>
        <v>90</v>
      </c>
      <c r="I22">
        <f>+EST_ITM!DE94</f>
        <v>160</v>
      </c>
      <c r="J22">
        <f>+EST_ITM!DK94</f>
        <v>0</v>
      </c>
      <c r="K22">
        <f>+EST_ITM!DQ94</f>
        <v>80</v>
      </c>
      <c r="L22">
        <f>+EST_ITM!DW94</f>
        <v>160</v>
      </c>
      <c r="M22">
        <f>+EST_ITM!EC94</f>
        <v>70</v>
      </c>
    </row>
    <row r="23" spans="1:13" x14ac:dyDescent="0.2">
      <c r="A23" s="250" t="s">
        <v>140</v>
      </c>
      <c r="B23">
        <f>+EST_ITM!BO95</f>
        <v>20</v>
      </c>
      <c r="C23">
        <f>+EST_ITM!BU95</f>
        <v>15</v>
      </c>
      <c r="D23">
        <f>+EST_ITM!CA95</f>
        <v>35</v>
      </c>
      <c r="E23">
        <f>+EST_ITM!CG95</f>
        <v>20</v>
      </c>
      <c r="F23">
        <f>+EST_ITM!CM95</f>
        <v>20</v>
      </c>
      <c r="G23">
        <f>+EST_ITM!CS95</f>
        <v>15</v>
      </c>
      <c r="H23">
        <f>+EST_ITM!CY95</f>
        <v>25</v>
      </c>
      <c r="I23">
        <f>+EST_ITM!DE95</f>
        <v>80</v>
      </c>
      <c r="J23">
        <f>+EST_ITM!DK95</f>
        <v>0</v>
      </c>
      <c r="K23">
        <f>+EST_ITM!DQ95</f>
        <v>20</v>
      </c>
      <c r="L23">
        <f>+EST_ITM!DW95</f>
        <v>40</v>
      </c>
      <c r="M23">
        <f>+EST_ITM!EC95</f>
        <v>20</v>
      </c>
    </row>
    <row r="24" spans="1:13" x14ac:dyDescent="0.2">
      <c r="A24" s="250" t="s">
        <v>147</v>
      </c>
      <c r="B24">
        <f>+EST_ITM!BO96</f>
        <v>35</v>
      </c>
      <c r="C24">
        <f>+EST_ITM!BU96</f>
        <v>35</v>
      </c>
      <c r="D24">
        <f>+EST_ITM!CA96</f>
        <v>70</v>
      </c>
      <c r="E24">
        <f>+EST_ITM!CG96</f>
        <v>50</v>
      </c>
      <c r="F24">
        <f>+EST_ITM!CM96</f>
        <v>40</v>
      </c>
      <c r="G24">
        <f>+EST_ITM!CS96</f>
        <v>50</v>
      </c>
      <c r="H24">
        <f>+EST_ITM!CY96</f>
        <v>90</v>
      </c>
      <c r="I24">
        <f>+EST_ITM!DE96</f>
        <v>160</v>
      </c>
      <c r="J24">
        <f>+EST_ITM!DK96</f>
        <v>0</v>
      </c>
      <c r="K24">
        <f>+EST_ITM!DQ96</f>
        <v>80</v>
      </c>
      <c r="L24">
        <f>+EST_ITM!DW96</f>
        <v>160</v>
      </c>
      <c r="M24">
        <f>+EST_ITM!EC96</f>
        <v>70</v>
      </c>
    </row>
    <row r="27" spans="1:13" ht="18" x14ac:dyDescent="0.25">
      <c r="B27" s="351" t="s">
        <v>200</v>
      </c>
    </row>
    <row r="28" spans="1:13" ht="33.75" x14ac:dyDescent="0.2">
      <c r="A28" s="355" t="s">
        <v>201</v>
      </c>
      <c r="B28" s="355" t="s">
        <v>87</v>
      </c>
      <c r="C28" s="355" t="s">
        <v>88</v>
      </c>
      <c r="D28" s="355" t="s">
        <v>89</v>
      </c>
      <c r="E28" s="355" t="s">
        <v>7</v>
      </c>
      <c r="F28" s="355" t="s">
        <v>6</v>
      </c>
      <c r="G28" s="355" t="s">
        <v>105</v>
      </c>
      <c r="H28" s="355" t="s">
        <v>194</v>
      </c>
      <c r="I28" s="355" t="s">
        <v>8</v>
      </c>
      <c r="J28" s="355" t="s">
        <v>90</v>
      </c>
      <c r="K28" s="355" t="s">
        <v>9</v>
      </c>
      <c r="L28" s="355" t="s">
        <v>74</v>
      </c>
      <c r="M28" s="355" t="s">
        <v>11</v>
      </c>
    </row>
    <row r="29" spans="1:13" x14ac:dyDescent="0.2">
      <c r="A29" s="250" t="s">
        <v>98</v>
      </c>
      <c r="B29" s="348">
        <f>+IF(B4&lt;=40,1,IF(AND(B4&gt;40,B4&lt;=80),2,IF(AND(B4&gt;80,B4&lt;=120),3,4)))</f>
        <v>2</v>
      </c>
      <c r="C29" s="348">
        <f t="shared" ref="C29:M29" si="0">+IF(C4&lt;=40,1,IF(AND(C4&gt;40,C4&lt;=80),2,IF(AND(C4&gt;80,C4&lt;=120),3,4)))</f>
        <v>1</v>
      </c>
      <c r="D29" s="348">
        <f t="shared" si="0"/>
        <v>1</v>
      </c>
      <c r="E29" s="348">
        <f t="shared" si="0"/>
        <v>1</v>
      </c>
      <c r="F29" s="348">
        <f t="shared" si="0"/>
        <v>1</v>
      </c>
      <c r="G29" s="348">
        <f t="shared" si="0"/>
        <v>1</v>
      </c>
      <c r="H29" s="348">
        <f t="shared" si="0"/>
        <v>3</v>
      </c>
      <c r="I29" s="348">
        <f t="shared" si="0"/>
        <v>4</v>
      </c>
      <c r="J29" s="348">
        <f t="shared" si="0"/>
        <v>1</v>
      </c>
      <c r="K29" s="348">
        <f t="shared" si="0"/>
        <v>3</v>
      </c>
      <c r="L29" s="348">
        <f t="shared" si="0"/>
        <v>3</v>
      </c>
      <c r="M29" s="348">
        <f t="shared" si="0"/>
        <v>1</v>
      </c>
    </row>
    <row r="30" spans="1:13" x14ac:dyDescent="0.2">
      <c r="A30" s="250" t="s">
        <v>99</v>
      </c>
      <c r="B30" s="348">
        <f t="shared" ref="B30:M30" si="1">+IF(B5&lt;=40,1,IF(AND(B5&gt;40,B5&lt;=80),2,IF(AND(B5&gt;80,B5&lt;=120),3,4)))</f>
        <v>1</v>
      </c>
      <c r="C30" s="348">
        <f t="shared" si="1"/>
        <v>1</v>
      </c>
      <c r="D30" s="348">
        <f t="shared" si="1"/>
        <v>1</v>
      </c>
      <c r="E30" s="348">
        <f t="shared" si="1"/>
        <v>1</v>
      </c>
      <c r="F30" s="348">
        <f t="shared" si="1"/>
        <v>1</v>
      </c>
      <c r="G30" s="348">
        <f t="shared" si="1"/>
        <v>1</v>
      </c>
      <c r="H30" s="348">
        <f t="shared" si="1"/>
        <v>1</v>
      </c>
      <c r="I30" s="348">
        <f t="shared" si="1"/>
        <v>3</v>
      </c>
      <c r="J30" s="348">
        <f t="shared" si="1"/>
        <v>1</v>
      </c>
      <c r="K30" s="348">
        <f t="shared" si="1"/>
        <v>2</v>
      </c>
      <c r="L30" s="348">
        <f t="shared" si="1"/>
        <v>1</v>
      </c>
      <c r="M30" s="348">
        <f t="shared" si="1"/>
        <v>1</v>
      </c>
    </row>
    <row r="31" spans="1:13" x14ac:dyDescent="0.2">
      <c r="A31" s="250" t="s">
        <v>100</v>
      </c>
      <c r="B31" s="348">
        <f t="shared" ref="B31:M31" si="2">+IF(B6&lt;=40,1,IF(AND(B6&gt;40,B6&lt;=80),2,IF(AND(B6&gt;80,B6&lt;=120),3,4)))</f>
        <v>2</v>
      </c>
      <c r="C31" s="348">
        <f t="shared" si="2"/>
        <v>1</v>
      </c>
      <c r="D31" s="348">
        <f t="shared" si="2"/>
        <v>2</v>
      </c>
      <c r="E31" s="348">
        <f t="shared" si="2"/>
        <v>2</v>
      </c>
      <c r="F31" s="348">
        <f t="shared" si="2"/>
        <v>1</v>
      </c>
      <c r="G31" s="348">
        <f t="shared" si="2"/>
        <v>2</v>
      </c>
      <c r="H31" s="348">
        <f t="shared" si="2"/>
        <v>3</v>
      </c>
      <c r="I31" s="348">
        <f t="shared" si="2"/>
        <v>4</v>
      </c>
      <c r="J31" s="348">
        <f t="shared" si="2"/>
        <v>1</v>
      </c>
      <c r="K31" s="348">
        <f t="shared" si="2"/>
        <v>3</v>
      </c>
      <c r="L31" s="348">
        <f t="shared" si="2"/>
        <v>4</v>
      </c>
      <c r="M31" s="348">
        <f t="shared" si="2"/>
        <v>2</v>
      </c>
    </row>
    <row r="32" spans="1:13" x14ac:dyDescent="0.2">
      <c r="A32" s="250" t="s">
        <v>101</v>
      </c>
      <c r="B32" s="348">
        <f t="shared" ref="B32:M32" si="3">+IF(B7&lt;=40,1,IF(AND(B7&gt;40,B7&lt;=80),2,IF(AND(B7&gt;80,B7&lt;=120),3,4)))</f>
        <v>1</v>
      </c>
      <c r="C32" s="348">
        <f t="shared" si="3"/>
        <v>1</v>
      </c>
      <c r="D32" s="348">
        <f t="shared" si="3"/>
        <v>1</v>
      </c>
      <c r="E32" s="348">
        <f t="shared" si="3"/>
        <v>1</v>
      </c>
      <c r="F32" s="348">
        <f t="shared" si="3"/>
        <v>1</v>
      </c>
      <c r="G32" s="348">
        <f t="shared" si="3"/>
        <v>1</v>
      </c>
      <c r="H32" s="348">
        <f t="shared" si="3"/>
        <v>1</v>
      </c>
      <c r="I32" s="348">
        <f t="shared" si="3"/>
        <v>2</v>
      </c>
      <c r="J32" s="348">
        <f t="shared" si="3"/>
        <v>1</v>
      </c>
      <c r="K32" s="348">
        <f t="shared" si="3"/>
        <v>1</v>
      </c>
      <c r="L32" s="348">
        <f t="shared" si="3"/>
        <v>1</v>
      </c>
      <c r="M32" s="348">
        <f t="shared" si="3"/>
        <v>1</v>
      </c>
    </row>
    <row r="33" spans="1:13" x14ac:dyDescent="0.2">
      <c r="A33" s="250" t="s">
        <v>102</v>
      </c>
      <c r="B33" s="348">
        <f t="shared" ref="B33:M33" si="4">+IF(B8&lt;=40,1,IF(AND(B8&gt;40,B8&lt;=80),2,IF(AND(B8&gt;80,B8&lt;=120),3,4)))</f>
        <v>2</v>
      </c>
      <c r="C33" s="348">
        <f t="shared" si="4"/>
        <v>2</v>
      </c>
      <c r="D33" s="348">
        <f t="shared" si="4"/>
        <v>2</v>
      </c>
      <c r="E33" s="348">
        <f t="shared" si="4"/>
        <v>2</v>
      </c>
      <c r="F33" s="348">
        <f t="shared" si="4"/>
        <v>2</v>
      </c>
      <c r="G33" s="348">
        <f t="shared" si="4"/>
        <v>3</v>
      </c>
      <c r="H33" s="348">
        <f t="shared" si="4"/>
        <v>4</v>
      </c>
      <c r="I33" s="348">
        <f t="shared" si="4"/>
        <v>4</v>
      </c>
      <c r="J33" s="348">
        <f t="shared" si="4"/>
        <v>1</v>
      </c>
      <c r="K33" s="348">
        <f t="shared" si="4"/>
        <v>4</v>
      </c>
      <c r="L33" s="348">
        <f t="shared" si="4"/>
        <v>4</v>
      </c>
      <c r="M33" s="348">
        <f t="shared" si="4"/>
        <v>2</v>
      </c>
    </row>
    <row r="34" spans="1:13" x14ac:dyDescent="0.2">
      <c r="A34" s="250" t="s">
        <v>103</v>
      </c>
      <c r="B34" s="348">
        <f t="shared" ref="B34:M34" si="5">+IF(B9&lt;=40,1,IF(AND(B9&gt;40,B9&lt;=80),2,IF(AND(B9&gt;80,B9&lt;=120),3,4)))</f>
        <v>1</v>
      </c>
      <c r="C34" s="348">
        <f t="shared" si="5"/>
        <v>1</v>
      </c>
      <c r="D34" s="348">
        <f t="shared" si="5"/>
        <v>1</v>
      </c>
      <c r="E34" s="348">
        <f t="shared" si="5"/>
        <v>1</v>
      </c>
      <c r="F34" s="348">
        <f t="shared" si="5"/>
        <v>1</v>
      </c>
      <c r="G34" s="348">
        <f t="shared" si="5"/>
        <v>1</v>
      </c>
      <c r="H34" s="348">
        <f t="shared" si="5"/>
        <v>1</v>
      </c>
      <c r="I34" s="348">
        <f t="shared" si="5"/>
        <v>1</v>
      </c>
      <c r="J34" s="348">
        <f t="shared" si="5"/>
        <v>1</v>
      </c>
      <c r="K34" s="348">
        <f t="shared" si="5"/>
        <v>1</v>
      </c>
      <c r="L34" s="348">
        <f t="shared" si="5"/>
        <v>1</v>
      </c>
      <c r="M34" s="348">
        <f t="shared" si="5"/>
        <v>1</v>
      </c>
    </row>
    <row r="35" spans="1:13" x14ac:dyDescent="0.2">
      <c r="A35" s="250" t="s">
        <v>104</v>
      </c>
      <c r="B35" s="348">
        <f t="shared" ref="B35:M35" si="6">+IF(B10&lt;=40,1,IF(AND(B10&gt;40,B10&lt;=80),2,IF(AND(B10&gt;80,B10&lt;=120),3,4)))</f>
        <v>1</v>
      </c>
      <c r="C35" s="348">
        <f t="shared" si="6"/>
        <v>2</v>
      </c>
      <c r="D35" s="348">
        <f t="shared" si="6"/>
        <v>2</v>
      </c>
      <c r="E35" s="348">
        <f t="shared" si="6"/>
        <v>1</v>
      </c>
      <c r="F35" s="348">
        <f t="shared" si="6"/>
        <v>2</v>
      </c>
      <c r="G35" s="348">
        <f t="shared" si="6"/>
        <v>1</v>
      </c>
      <c r="H35" s="348">
        <f t="shared" si="6"/>
        <v>3</v>
      </c>
      <c r="I35" s="348">
        <f t="shared" si="6"/>
        <v>3</v>
      </c>
      <c r="J35" s="348">
        <f t="shared" si="6"/>
        <v>1</v>
      </c>
      <c r="K35" s="348">
        <f t="shared" si="6"/>
        <v>3</v>
      </c>
      <c r="L35" s="348">
        <f t="shared" si="6"/>
        <v>3</v>
      </c>
      <c r="M35" s="348">
        <f t="shared" si="6"/>
        <v>2</v>
      </c>
    </row>
    <row r="36" spans="1:13" x14ac:dyDescent="0.2">
      <c r="A36" s="250" t="s">
        <v>134</v>
      </c>
      <c r="B36" s="348">
        <f t="shared" ref="B36:M36" si="7">+IF(B11&lt;=40,1,IF(AND(B11&gt;40,B11&lt;=80),2,IF(AND(B11&gt;80,B11&lt;=120),3,4)))</f>
        <v>1</v>
      </c>
      <c r="C36" s="348">
        <f t="shared" si="7"/>
        <v>1</v>
      </c>
      <c r="D36" s="348">
        <f t="shared" si="7"/>
        <v>1</v>
      </c>
      <c r="E36" s="348">
        <f t="shared" si="7"/>
        <v>1</v>
      </c>
      <c r="F36" s="348">
        <f t="shared" si="7"/>
        <v>1</v>
      </c>
      <c r="G36" s="348">
        <f t="shared" si="7"/>
        <v>1</v>
      </c>
      <c r="H36" s="348">
        <f t="shared" si="7"/>
        <v>1</v>
      </c>
      <c r="I36" s="348">
        <f t="shared" si="7"/>
        <v>1</v>
      </c>
      <c r="J36" s="348">
        <f t="shared" si="7"/>
        <v>1</v>
      </c>
      <c r="K36" s="348">
        <f t="shared" si="7"/>
        <v>1</v>
      </c>
      <c r="L36" s="348">
        <f t="shared" si="7"/>
        <v>2</v>
      </c>
      <c r="M36" s="348">
        <f t="shared" si="7"/>
        <v>1</v>
      </c>
    </row>
    <row r="37" spans="1:13" x14ac:dyDescent="0.2">
      <c r="A37" s="250" t="s">
        <v>141</v>
      </c>
      <c r="B37" s="348">
        <f t="shared" ref="B37:M37" si="8">+IF(B12&lt;=40,1,IF(AND(B12&gt;40,B12&lt;=80),2,IF(AND(B12&gt;80,B12&lt;=120),3,4)))</f>
        <v>2</v>
      </c>
      <c r="C37" s="348">
        <f t="shared" si="8"/>
        <v>1</v>
      </c>
      <c r="D37" s="348">
        <f t="shared" si="8"/>
        <v>2</v>
      </c>
      <c r="E37" s="348">
        <f t="shared" si="8"/>
        <v>1</v>
      </c>
      <c r="F37" s="348">
        <f t="shared" si="8"/>
        <v>1</v>
      </c>
      <c r="G37" s="348">
        <f t="shared" si="8"/>
        <v>1</v>
      </c>
      <c r="H37" s="348">
        <f t="shared" si="8"/>
        <v>2</v>
      </c>
      <c r="I37" s="348">
        <f t="shared" si="8"/>
        <v>3</v>
      </c>
      <c r="J37" s="348">
        <f t="shared" si="8"/>
        <v>1</v>
      </c>
      <c r="K37" s="348">
        <f t="shared" si="8"/>
        <v>3</v>
      </c>
      <c r="L37" s="348">
        <f t="shared" si="8"/>
        <v>2</v>
      </c>
      <c r="M37" s="348">
        <f t="shared" si="8"/>
        <v>1</v>
      </c>
    </row>
    <row r="38" spans="1:13" x14ac:dyDescent="0.2">
      <c r="A38" s="250" t="s">
        <v>135</v>
      </c>
      <c r="B38" s="348">
        <f t="shared" ref="B38:M38" si="9">+IF(B13&lt;=40,1,IF(AND(B13&gt;40,B13&lt;=80),2,IF(AND(B13&gt;80,B13&lt;=120),3,4)))</f>
        <v>1</v>
      </c>
      <c r="C38" s="348">
        <f t="shared" si="9"/>
        <v>1</v>
      </c>
      <c r="D38" s="348">
        <f t="shared" si="9"/>
        <v>1</v>
      </c>
      <c r="E38" s="348">
        <f t="shared" si="9"/>
        <v>1</v>
      </c>
      <c r="F38" s="348">
        <f t="shared" si="9"/>
        <v>1</v>
      </c>
      <c r="G38" s="348">
        <f t="shared" si="9"/>
        <v>1</v>
      </c>
      <c r="H38" s="348">
        <f t="shared" si="9"/>
        <v>1</v>
      </c>
      <c r="I38" s="348">
        <f t="shared" si="9"/>
        <v>2</v>
      </c>
      <c r="J38" s="348">
        <f t="shared" si="9"/>
        <v>1</v>
      </c>
      <c r="K38" s="348">
        <f t="shared" si="9"/>
        <v>1</v>
      </c>
      <c r="L38" s="348">
        <f t="shared" si="9"/>
        <v>1</v>
      </c>
      <c r="M38" s="348">
        <f t="shared" si="9"/>
        <v>1</v>
      </c>
    </row>
    <row r="39" spans="1:13" x14ac:dyDescent="0.2">
      <c r="A39" s="250" t="s">
        <v>142</v>
      </c>
      <c r="B39" s="348">
        <f t="shared" ref="B39:M39" si="10">+IF(B14&lt;=40,1,IF(AND(B14&gt;40,B14&lt;=80),2,IF(AND(B14&gt;80,B14&lt;=120),3,4)))</f>
        <v>1</v>
      </c>
      <c r="C39" s="348">
        <f t="shared" si="10"/>
        <v>1</v>
      </c>
      <c r="D39" s="348">
        <f t="shared" si="10"/>
        <v>2</v>
      </c>
      <c r="E39" s="348">
        <f t="shared" si="10"/>
        <v>2</v>
      </c>
      <c r="F39" s="348">
        <f t="shared" si="10"/>
        <v>1</v>
      </c>
      <c r="G39" s="348">
        <f t="shared" si="10"/>
        <v>2</v>
      </c>
      <c r="H39" s="348">
        <f t="shared" si="10"/>
        <v>3</v>
      </c>
      <c r="I39" s="348">
        <f t="shared" si="10"/>
        <v>4</v>
      </c>
      <c r="J39" s="348">
        <f t="shared" si="10"/>
        <v>1</v>
      </c>
      <c r="K39" s="348">
        <f t="shared" si="10"/>
        <v>2</v>
      </c>
      <c r="L39" s="348">
        <f t="shared" si="10"/>
        <v>4</v>
      </c>
      <c r="M39" s="348">
        <f t="shared" si="10"/>
        <v>2</v>
      </c>
    </row>
    <row r="40" spans="1:13" x14ac:dyDescent="0.2">
      <c r="A40" s="250" t="s">
        <v>136</v>
      </c>
      <c r="B40" s="348">
        <f t="shared" ref="B40:M40" si="11">+IF(B15&lt;=40,1,IF(AND(B15&gt;40,B15&lt;=80),2,IF(AND(B15&gt;80,B15&lt;=120),3,4)))</f>
        <v>1</v>
      </c>
      <c r="C40" s="348">
        <f t="shared" si="11"/>
        <v>1</v>
      </c>
      <c r="D40" s="348">
        <f t="shared" si="11"/>
        <v>1</v>
      </c>
      <c r="E40" s="348">
        <f t="shared" si="11"/>
        <v>1</v>
      </c>
      <c r="F40" s="348">
        <f t="shared" si="11"/>
        <v>1</v>
      </c>
      <c r="G40" s="348">
        <f t="shared" si="11"/>
        <v>1</v>
      </c>
      <c r="H40" s="348">
        <f t="shared" si="11"/>
        <v>1</v>
      </c>
      <c r="I40" s="348">
        <f t="shared" si="11"/>
        <v>2</v>
      </c>
      <c r="J40" s="348">
        <f t="shared" si="11"/>
        <v>1</v>
      </c>
      <c r="K40" s="348">
        <f t="shared" si="11"/>
        <v>1</v>
      </c>
      <c r="L40" s="348">
        <f t="shared" si="11"/>
        <v>1</v>
      </c>
      <c r="M40" s="348">
        <f t="shared" si="11"/>
        <v>1</v>
      </c>
    </row>
    <row r="41" spans="1:13" x14ac:dyDescent="0.2">
      <c r="A41" s="250" t="s">
        <v>143</v>
      </c>
      <c r="B41" s="348">
        <f t="shared" ref="B41:M41" si="12">+IF(B16&lt;=40,1,IF(AND(B16&gt;40,B16&lt;=80),2,IF(AND(B16&gt;80,B16&lt;=120),3,4)))</f>
        <v>1</v>
      </c>
      <c r="C41" s="348">
        <f t="shared" si="12"/>
        <v>1</v>
      </c>
      <c r="D41" s="348">
        <f t="shared" si="12"/>
        <v>2</v>
      </c>
      <c r="E41" s="348">
        <f t="shared" si="12"/>
        <v>2</v>
      </c>
      <c r="F41" s="348">
        <f t="shared" si="12"/>
        <v>1</v>
      </c>
      <c r="G41" s="348">
        <f t="shared" si="12"/>
        <v>2</v>
      </c>
      <c r="H41" s="348">
        <f t="shared" si="12"/>
        <v>3</v>
      </c>
      <c r="I41" s="348">
        <f t="shared" si="12"/>
        <v>4</v>
      </c>
      <c r="J41" s="348">
        <f t="shared" si="12"/>
        <v>1</v>
      </c>
      <c r="K41" s="348">
        <f t="shared" si="12"/>
        <v>2</v>
      </c>
      <c r="L41" s="348">
        <f t="shared" si="12"/>
        <v>4</v>
      </c>
      <c r="M41" s="348">
        <f t="shared" si="12"/>
        <v>2</v>
      </c>
    </row>
    <row r="42" spans="1:13" x14ac:dyDescent="0.2">
      <c r="A42" s="250" t="s">
        <v>137</v>
      </c>
      <c r="B42" s="348">
        <f t="shared" ref="B42:M42" si="13">+IF(B17&lt;=40,1,IF(AND(B17&gt;40,B17&lt;=80),2,IF(AND(B17&gt;80,B17&lt;=120),3,4)))</f>
        <v>1</v>
      </c>
      <c r="C42" s="348">
        <f t="shared" si="13"/>
        <v>1</v>
      </c>
      <c r="D42" s="348">
        <f t="shared" si="13"/>
        <v>1</v>
      </c>
      <c r="E42" s="348">
        <f t="shared" si="13"/>
        <v>1</v>
      </c>
      <c r="F42" s="348">
        <f t="shared" si="13"/>
        <v>1</v>
      </c>
      <c r="G42" s="348">
        <f t="shared" si="13"/>
        <v>1</v>
      </c>
      <c r="H42" s="348">
        <f t="shared" si="13"/>
        <v>1</v>
      </c>
      <c r="I42" s="348">
        <f t="shared" si="13"/>
        <v>2</v>
      </c>
      <c r="J42" s="348">
        <f t="shared" si="13"/>
        <v>1</v>
      </c>
      <c r="K42" s="348">
        <f t="shared" si="13"/>
        <v>1</v>
      </c>
      <c r="L42" s="348">
        <f t="shared" si="13"/>
        <v>1</v>
      </c>
      <c r="M42" s="348">
        <f t="shared" si="13"/>
        <v>1</v>
      </c>
    </row>
    <row r="43" spans="1:13" x14ac:dyDescent="0.2">
      <c r="A43" s="250" t="s">
        <v>144</v>
      </c>
      <c r="B43" s="348">
        <f t="shared" ref="B43:M43" si="14">+IF(B18&lt;=40,1,IF(AND(B18&gt;40,B18&lt;=80),2,IF(AND(B18&gt;80,B18&lt;=120),3,4)))</f>
        <v>1</v>
      </c>
      <c r="C43" s="348">
        <f t="shared" si="14"/>
        <v>1</v>
      </c>
      <c r="D43" s="348">
        <f t="shared" si="14"/>
        <v>2</v>
      </c>
      <c r="E43" s="348">
        <f t="shared" si="14"/>
        <v>2</v>
      </c>
      <c r="F43" s="348">
        <f t="shared" si="14"/>
        <v>1</v>
      </c>
      <c r="G43" s="348">
        <f t="shared" si="14"/>
        <v>2</v>
      </c>
      <c r="H43" s="348">
        <f t="shared" si="14"/>
        <v>3</v>
      </c>
      <c r="I43" s="348">
        <f t="shared" si="14"/>
        <v>4</v>
      </c>
      <c r="J43" s="348">
        <f t="shared" si="14"/>
        <v>1</v>
      </c>
      <c r="K43" s="348">
        <f t="shared" si="14"/>
        <v>2</v>
      </c>
      <c r="L43" s="348">
        <f t="shared" si="14"/>
        <v>4</v>
      </c>
      <c r="M43" s="348">
        <f t="shared" si="14"/>
        <v>2</v>
      </c>
    </row>
    <row r="44" spans="1:13" x14ac:dyDescent="0.2">
      <c r="A44" s="250" t="s">
        <v>138</v>
      </c>
      <c r="B44" s="348">
        <f t="shared" ref="B44:M44" si="15">+IF(B19&lt;=40,1,IF(AND(B19&gt;40,B19&lt;=80),2,IF(AND(B19&gt;80,B19&lt;=120),3,4)))</f>
        <v>1</v>
      </c>
      <c r="C44" s="348">
        <f t="shared" si="15"/>
        <v>1</v>
      </c>
      <c r="D44" s="348">
        <f t="shared" si="15"/>
        <v>1</v>
      </c>
      <c r="E44" s="348">
        <f t="shared" si="15"/>
        <v>1</v>
      </c>
      <c r="F44" s="348">
        <f t="shared" si="15"/>
        <v>1</v>
      </c>
      <c r="G44" s="348">
        <f t="shared" si="15"/>
        <v>1</v>
      </c>
      <c r="H44" s="348">
        <f t="shared" si="15"/>
        <v>1</v>
      </c>
      <c r="I44" s="348">
        <f t="shared" si="15"/>
        <v>2</v>
      </c>
      <c r="J44" s="348">
        <f t="shared" si="15"/>
        <v>1</v>
      </c>
      <c r="K44" s="348">
        <f t="shared" si="15"/>
        <v>1</v>
      </c>
      <c r="L44" s="348">
        <f t="shared" si="15"/>
        <v>1</v>
      </c>
      <c r="M44" s="348">
        <f t="shared" si="15"/>
        <v>1</v>
      </c>
    </row>
    <row r="45" spans="1:13" x14ac:dyDescent="0.2">
      <c r="A45" s="250" t="s">
        <v>145</v>
      </c>
      <c r="B45" s="348">
        <f t="shared" ref="B45:M45" si="16">+IF(B20&lt;=40,1,IF(AND(B20&gt;40,B20&lt;=80),2,IF(AND(B20&gt;80,B20&lt;=120),3,4)))</f>
        <v>1</v>
      </c>
      <c r="C45" s="348">
        <f t="shared" si="16"/>
        <v>1</v>
      </c>
      <c r="D45" s="348">
        <f t="shared" si="16"/>
        <v>2</v>
      </c>
      <c r="E45" s="348">
        <f t="shared" si="16"/>
        <v>2</v>
      </c>
      <c r="F45" s="348">
        <f t="shared" si="16"/>
        <v>1</v>
      </c>
      <c r="G45" s="348">
        <f t="shared" si="16"/>
        <v>2</v>
      </c>
      <c r="H45" s="348">
        <f t="shared" si="16"/>
        <v>3</v>
      </c>
      <c r="I45" s="348">
        <f t="shared" si="16"/>
        <v>4</v>
      </c>
      <c r="J45" s="348">
        <f t="shared" si="16"/>
        <v>1</v>
      </c>
      <c r="K45" s="348">
        <f t="shared" si="16"/>
        <v>2</v>
      </c>
      <c r="L45" s="348">
        <f t="shared" si="16"/>
        <v>4</v>
      </c>
      <c r="M45" s="348">
        <f t="shared" si="16"/>
        <v>2</v>
      </c>
    </row>
    <row r="46" spans="1:13" x14ac:dyDescent="0.2">
      <c r="A46" s="250" t="s">
        <v>139</v>
      </c>
      <c r="B46" s="348">
        <f t="shared" ref="B46:M46" si="17">+IF(B21&lt;=40,1,IF(AND(B21&gt;40,B21&lt;=80),2,IF(AND(B21&gt;80,B21&lt;=120),3,4)))</f>
        <v>1</v>
      </c>
      <c r="C46" s="348">
        <f t="shared" si="17"/>
        <v>1</v>
      </c>
      <c r="D46" s="348">
        <f t="shared" si="17"/>
        <v>1</v>
      </c>
      <c r="E46" s="348">
        <f t="shared" si="17"/>
        <v>1</v>
      </c>
      <c r="F46" s="348">
        <f t="shared" si="17"/>
        <v>1</v>
      </c>
      <c r="G46" s="348">
        <f t="shared" si="17"/>
        <v>1</v>
      </c>
      <c r="H46" s="348">
        <f t="shared" si="17"/>
        <v>1</v>
      </c>
      <c r="I46" s="348">
        <f t="shared" si="17"/>
        <v>2</v>
      </c>
      <c r="J46" s="348">
        <f t="shared" si="17"/>
        <v>1</v>
      </c>
      <c r="K46" s="348">
        <f t="shared" si="17"/>
        <v>1</v>
      </c>
      <c r="L46" s="348">
        <f t="shared" si="17"/>
        <v>1</v>
      </c>
      <c r="M46" s="348">
        <f t="shared" si="17"/>
        <v>1</v>
      </c>
    </row>
    <row r="47" spans="1:13" x14ac:dyDescent="0.2">
      <c r="A47" s="250" t="s">
        <v>146</v>
      </c>
      <c r="B47" s="348">
        <f t="shared" ref="B47:M47" si="18">+IF(B22&lt;=40,1,IF(AND(B22&gt;40,B22&lt;=80),2,IF(AND(B22&gt;80,B22&lt;=120),3,4)))</f>
        <v>1</v>
      </c>
      <c r="C47" s="348">
        <f t="shared" si="18"/>
        <v>1</v>
      </c>
      <c r="D47" s="348">
        <f t="shared" si="18"/>
        <v>2</v>
      </c>
      <c r="E47" s="348">
        <f t="shared" si="18"/>
        <v>2</v>
      </c>
      <c r="F47" s="348">
        <f t="shared" si="18"/>
        <v>1</v>
      </c>
      <c r="G47" s="348">
        <f t="shared" si="18"/>
        <v>2</v>
      </c>
      <c r="H47" s="348">
        <f t="shared" si="18"/>
        <v>3</v>
      </c>
      <c r="I47" s="348">
        <f t="shared" si="18"/>
        <v>4</v>
      </c>
      <c r="J47" s="348">
        <f t="shared" si="18"/>
        <v>1</v>
      </c>
      <c r="K47" s="348">
        <f t="shared" si="18"/>
        <v>2</v>
      </c>
      <c r="L47" s="348">
        <f t="shared" si="18"/>
        <v>4</v>
      </c>
      <c r="M47" s="348">
        <f t="shared" si="18"/>
        <v>2</v>
      </c>
    </row>
    <row r="48" spans="1:13" x14ac:dyDescent="0.2">
      <c r="A48" s="250" t="s">
        <v>140</v>
      </c>
      <c r="B48" s="348">
        <f t="shared" ref="B48:M48" si="19">+IF(B23&lt;=40,1,IF(AND(B23&gt;40,B23&lt;=80),2,IF(AND(B23&gt;80,B23&lt;=120),3,4)))</f>
        <v>1</v>
      </c>
      <c r="C48" s="348">
        <f t="shared" si="19"/>
        <v>1</v>
      </c>
      <c r="D48" s="348">
        <f t="shared" si="19"/>
        <v>1</v>
      </c>
      <c r="E48" s="348">
        <f t="shared" si="19"/>
        <v>1</v>
      </c>
      <c r="F48" s="348">
        <f t="shared" si="19"/>
        <v>1</v>
      </c>
      <c r="G48" s="348">
        <f t="shared" si="19"/>
        <v>1</v>
      </c>
      <c r="H48" s="348">
        <f t="shared" si="19"/>
        <v>1</v>
      </c>
      <c r="I48" s="348">
        <f t="shared" si="19"/>
        <v>2</v>
      </c>
      <c r="J48" s="348">
        <f t="shared" si="19"/>
        <v>1</v>
      </c>
      <c r="K48" s="348">
        <f t="shared" si="19"/>
        <v>1</v>
      </c>
      <c r="L48" s="348">
        <f t="shared" si="19"/>
        <v>1</v>
      </c>
      <c r="M48" s="348">
        <f t="shared" si="19"/>
        <v>1</v>
      </c>
    </row>
    <row r="49" spans="1:13" x14ac:dyDescent="0.2">
      <c r="A49" s="250" t="s">
        <v>147</v>
      </c>
      <c r="B49" s="348">
        <f t="shared" ref="B49:M49" si="20">+IF(B24&lt;=40,1,IF(AND(B24&gt;40,B24&lt;=80),2,IF(AND(B24&gt;80,B24&lt;=120),3,4)))</f>
        <v>1</v>
      </c>
      <c r="C49" s="348">
        <f t="shared" si="20"/>
        <v>1</v>
      </c>
      <c r="D49" s="348">
        <f t="shared" si="20"/>
        <v>2</v>
      </c>
      <c r="E49" s="348">
        <f t="shared" si="20"/>
        <v>2</v>
      </c>
      <c r="F49" s="348">
        <f t="shared" si="20"/>
        <v>1</v>
      </c>
      <c r="G49" s="348">
        <f t="shared" si="20"/>
        <v>2</v>
      </c>
      <c r="H49" s="348">
        <f t="shared" si="20"/>
        <v>3</v>
      </c>
      <c r="I49" s="348">
        <f t="shared" si="20"/>
        <v>4</v>
      </c>
      <c r="J49" s="348">
        <f t="shared" si="20"/>
        <v>1</v>
      </c>
      <c r="K49" s="348">
        <f t="shared" si="20"/>
        <v>2</v>
      </c>
      <c r="L49" s="348">
        <f t="shared" si="20"/>
        <v>4</v>
      </c>
      <c r="M49" s="348">
        <f t="shared" si="20"/>
        <v>2</v>
      </c>
    </row>
  </sheetData>
  <conditionalFormatting sqref="B3:Q3">
    <cfRule type="cellIs" dxfId="3" priority="4" stopIfTrue="1" operator="lessThan">
      <formula>0</formula>
    </cfRule>
  </conditionalFormatting>
  <conditionalFormatting sqref="B28:M28">
    <cfRule type="cellIs" dxfId="2" priority="3" stopIfTrue="1" operator="lessThan">
      <formula>0</formula>
    </cfRule>
  </conditionalFormatting>
  <conditionalFormatting sqref="A3">
    <cfRule type="cellIs" dxfId="1" priority="2" stopIfTrue="1" operator="lessThan">
      <formula>0</formula>
    </cfRule>
  </conditionalFormatting>
  <conditionalFormatting sqref="A28">
    <cfRule type="cellIs" dxfId="0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10</vt:i4>
      </vt:variant>
    </vt:vector>
  </HeadingPairs>
  <TitlesOfParts>
    <vt:vector size="18" baseType="lpstr">
      <vt:lpstr>EST_ITM</vt:lpstr>
      <vt:lpstr>ESTADISTICAS</vt:lpstr>
      <vt:lpstr>Crec x Carrera</vt:lpstr>
      <vt:lpstr>Crec x Depto</vt:lpstr>
      <vt:lpstr>Plan en Liq</vt:lpstr>
      <vt:lpstr>PobActual</vt:lpstr>
      <vt:lpstr>EGR_Carrera</vt:lpstr>
      <vt:lpstr>GposProy</vt:lpstr>
      <vt:lpstr>'Crec x Carrera'!Área_de_impresión</vt:lpstr>
      <vt:lpstr>EST_ITM!Área_de_impresión</vt:lpstr>
      <vt:lpstr>bddeptos</vt:lpstr>
      <vt:lpstr>BDEST</vt:lpstr>
      <vt:lpstr>DBESTLIQ</vt:lpstr>
      <vt:lpstr>MATPOB</vt:lpstr>
      <vt:lpstr>periodos</vt:lpstr>
      <vt:lpstr>periodos2</vt:lpstr>
      <vt:lpstr>sabana</vt:lpstr>
      <vt:lpstr>EST_ITM!Títulos_a_imprimir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POBLACION ESCOLAR</dc:title>
  <dc:subject>PROYECCION DE CRECIMIENTO</dc:subject>
  <dc:creator>RAMON ARMANDO HEREDIA RUIZ</dc:creator>
  <cp:lastModifiedBy>flor</cp:lastModifiedBy>
  <cp:lastPrinted>2018-04-16T21:39:13Z</cp:lastPrinted>
  <dcterms:created xsi:type="dcterms:W3CDTF">1997-09-09T06:54:20Z</dcterms:created>
  <dcterms:modified xsi:type="dcterms:W3CDTF">2019-10-31T01:05:35Z</dcterms:modified>
</cp:coreProperties>
</file>